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499778\Documents\design calc\"/>
    </mc:Choice>
  </mc:AlternateContent>
  <xr:revisionPtr revIDLastSave="0" documentId="13_ncr:1_{F258CC99-6D8A-4622-A6B4-04D119BDA0F4}" xr6:coauthVersionLast="36" xr6:coauthVersionMax="36" xr10:uidLastSave="{00000000-0000-0000-0000-000000000000}"/>
  <bookViews>
    <workbookView xWindow="-12" yWindow="48" windowWidth="11520" windowHeight="8100" xr2:uid="{00000000-000D-0000-FFFF-FFFF00000000}"/>
  </bookViews>
  <sheets>
    <sheet name="Calculation Sheet" sheetId="1" r:id="rId1"/>
    <sheet name="Thermal Shutdown Limit Plot" sheetId="14" r:id="rId2"/>
    <sheet name="Res EIA Tables" sheetId="11" r:id="rId3"/>
    <sheet name="Cap Tables" sheetId="13" r:id="rId4"/>
  </sheets>
  <definedNames>
    <definedName name="_xlnm._FilterDatabase" localSheetId="0" hidden="1">'Calculation Sheet'!$B$1:$G$11</definedName>
    <definedName name="Cdvdt_ext">'Calculation Sheet'!$D$42</definedName>
    <definedName name="Cdvdt_ext_cal1">'Calculation Sheet'!$D$39</definedName>
    <definedName name="Cext">'Calculation Sheet'!$H$9</definedName>
    <definedName name="Cext_dvdt_cal2">'Calculation Sheet'!$D$40</definedName>
    <definedName name="Cexttol">'Calculation Sheet'!$H$10</definedName>
    <definedName name="Cgs_gate">'Calculation Sheet'!#REF!</definedName>
    <definedName name="Cint">'Calculation Sheet'!#REF!</definedName>
    <definedName name="Cout">'Calculation Sheet'!$D$8</definedName>
    <definedName name="Coutp">'Calculation Sheet'!#REF!</definedName>
    <definedName name="Ctot">'Calculation Sheet'!$H$12</definedName>
    <definedName name="Gain_dvdt">'Calculation Sheet'!$D$34</definedName>
    <definedName name="GainCdvdt">'Calculation Sheet'!$T$9</definedName>
    <definedName name="I_dvdt">'Calculation Sheet'!$D$33</definedName>
    <definedName name="Icharge">'Calculation Sheet'!$D$43</definedName>
    <definedName name="Icharge_req">'Calculation Sheet'!$D$38</definedName>
    <definedName name="Ichgmax">'Calculation Sheet'!#REF!</definedName>
    <definedName name="Igs_gate">'Calculation Sheet'!#REF!</definedName>
    <definedName name="Ilimit">'Calculation Sheet'!$D$11</definedName>
    <definedName name="Ilimit_final">'Calculation Sheet'!$D$27</definedName>
    <definedName name="Ilimit_offset">'Calculation Sheet'!$D$78</definedName>
    <definedName name="Ilimit_vset">'Calculation Sheet'!$D$77</definedName>
    <definedName name="Imax">'Calculation Sheet'!$D$10</definedName>
    <definedName name="Imon_chg">'Calculation Sheet'!#REF!</definedName>
    <definedName name="Imon_gain">'Calculation Sheet'!#REF!</definedName>
    <definedName name="OVref">'Calculation Sheet'!#REF!</definedName>
    <definedName name="OVset">'Calculation Sheet'!#REF!</definedName>
    <definedName name="PGTH">'Calculation Sheet'!#REF!</definedName>
    <definedName name="PGTH_REF">'Calculation Sheet'!#REF!</definedName>
    <definedName name="Rdson_125deg">'Calculation Sheet'!$D$67</definedName>
    <definedName name="Rdson_25deg">'Calculation Sheet'!$D$66</definedName>
    <definedName name="Rdson_85deg">'Calculation Sheet'!#REF!</definedName>
    <definedName name="Rilim">'Calculation Sheet'!$D$26</definedName>
    <definedName name="Rlimit">'Calculation Sheet'!$D$26</definedName>
    <definedName name="Rlstart">'Calculation Sheet'!$D$9</definedName>
    <definedName name="RMON_sel">'Calculation Sheet'!#REF!</definedName>
    <definedName name="RpPGTH">'Calculation Sheet'!#REF!</definedName>
    <definedName name="RpUVLO">'Calculation Sheet'!$D$14</definedName>
    <definedName name="Rtheta_ja_max">'Calculation Sheet'!#REF!</definedName>
    <definedName name="Tch">'Calculation Sheet'!$H$15</definedName>
    <definedName name="Tchg_dvdt">'Calculation Sheet'!$D$45</definedName>
    <definedName name="Tchg_req">'Calculation Sheet'!$D$37</definedName>
    <definedName name="Tchmin">'Calculation Sheet'!$D$76</definedName>
    <definedName name="Tj_max">'Calculation Sheet'!$B$58</definedName>
    <definedName name="UVref">'Calculation Sheet'!$D$75</definedName>
    <definedName name="UVset">'Calculation Sheet'!$D$7</definedName>
    <definedName name="Vcc_max">'Calculation Sheet'!$D$6</definedName>
    <definedName name="Vsys">'Calculation Sheet'!$H$7</definedName>
    <definedName name="Ztheta_jc_tran">'Calculation Sheet'!#REF!</definedName>
  </definedNames>
  <calcPr calcId="191029"/>
</workbook>
</file>

<file path=xl/calcChain.xml><?xml version="1.0" encoding="utf-8"?>
<calcChain xmlns="http://schemas.openxmlformats.org/spreadsheetml/2006/main">
  <c r="G5" i="1" l="1"/>
  <c r="D21" i="1" l="1"/>
  <c r="J17" i="1" s="1"/>
  <c r="D67" i="1" l="1"/>
  <c r="D66" i="1"/>
  <c r="D11" i="1" l="1"/>
  <c r="D40" i="1" l="1"/>
  <c r="D15" i="1"/>
  <c r="D24" i="1"/>
  <c r="F45" i="1" l="1"/>
  <c r="F43" i="1" s="1"/>
  <c r="M14" i="1" l="1"/>
  <c r="F27" i="1" l="1"/>
  <c r="F28" i="1" s="1"/>
  <c r="C18" i="1" l="1"/>
  <c r="F17" i="1"/>
  <c r="F18" i="1" s="1"/>
  <c r="F19" i="1" l="1"/>
  <c r="B74" i="13"/>
  <c r="B73" i="13" s="1"/>
  <c r="B71" i="13"/>
  <c r="B70" i="13" s="1"/>
  <c r="B69" i="13" s="1"/>
  <c r="B67" i="13"/>
  <c r="B66" i="13" s="1"/>
  <c r="B65" i="13" s="1"/>
  <c r="B63" i="13"/>
  <c r="B62" i="13"/>
  <c r="B61" i="13"/>
  <c r="B59" i="13"/>
  <c r="B58" i="13" s="1"/>
  <c r="B57" i="13" s="1"/>
  <c r="B55" i="13"/>
  <c r="B54" i="13"/>
  <c r="B53" i="13" s="1"/>
  <c r="B51" i="13"/>
  <c r="B50" i="13"/>
  <c r="B49" i="13"/>
  <c r="B47" i="13"/>
  <c r="B46" i="13"/>
  <c r="B45" i="13"/>
  <c r="B43" i="13"/>
  <c r="B42" i="13" s="1"/>
  <c r="B41" i="13" s="1"/>
  <c r="B39" i="13"/>
  <c r="B38" i="13"/>
  <c r="B37" i="13" s="1"/>
  <c r="B35" i="13"/>
  <c r="B34" i="13" s="1"/>
  <c r="B33" i="13" s="1"/>
  <c r="B31" i="13"/>
  <c r="B30" i="13"/>
  <c r="B29" i="13"/>
  <c r="C74" i="13"/>
  <c r="C73" i="13" s="1"/>
  <c r="C71" i="13"/>
  <c r="C70" i="13"/>
  <c r="C69" i="13" s="1"/>
  <c r="C67" i="13"/>
  <c r="C66" i="13"/>
  <c r="C65" i="13" s="1"/>
  <c r="C63" i="13"/>
  <c r="C62" i="13" s="1"/>
  <c r="C61" i="13" s="1"/>
  <c r="C59" i="13"/>
  <c r="C58" i="13"/>
  <c r="C57" i="13"/>
  <c r="C55" i="13"/>
  <c r="C54" i="13"/>
  <c r="C53" i="13"/>
  <c r="C51" i="13"/>
  <c r="C50" i="13"/>
  <c r="C49" i="13"/>
  <c r="C47" i="13"/>
  <c r="C46" i="13"/>
  <c r="C45" i="13" s="1"/>
  <c r="C43" i="13"/>
  <c r="C42" i="13"/>
  <c r="C41" i="13" s="1"/>
  <c r="C39" i="13"/>
  <c r="C38" i="13"/>
  <c r="C37" i="13" s="1"/>
  <c r="C35" i="13"/>
  <c r="C34" i="13"/>
  <c r="C33" i="13"/>
  <c r="C31" i="13"/>
  <c r="C30" i="13"/>
  <c r="C29" i="13"/>
  <c r="C27" i="13"/>
  <c r="C26" i="13"/>
  <c r="C25" i="13" s="1"/>
  <c r="C23" i="13"/>
  <c r="C22" i="13"/>
  <c r="C21" i="13" s="1"/>
  <c r="C19" i="13"/>
  <c r="C18" i="13" s="1"/>
  <c r="C17" i="13" s="1"/>
  <c r="D49" i="1"/>
  <c r="M24" i="1" l="1"/>
  <c r="M26" i="1" s="1"/>
  <c r="G26" i="1" s="1"/>
  <c r="D26" i="1" s="1"/>
  <c r="D27" i="1" s="1"/>
  <c r="G9" i="1"/>
  <c r="D28" i="1" l="1"/>
  <c r="D35" i="1"/>
  <c r="M15" i="1"/>
  <c r="M17" i="1" s="1"/>
  <c r="G17" i="1" s="1"/>
  <c r="D17" i="1" s="1"/>
  <c r="D18" i="1" l="1"/>
  <c r="D19" i="1"/>
  <c r="J16" i="1" s="1"/>
  <c r="D20" i="1"/>
  <c r="D36" i="1"/>
  <c r="D39" i="1" s="1"/>
  <c r="J26" i="1"/>
  <c r="J25" i="1"/>
  <c r="G40" i="1" l="1"/>
  <c r="G42" i="1" s="1"/>
  <c r="D43" i="1" l="1"/>
  <c r="J15" i="1"/>
  <c r="G44" i="1" l="1"/>
  <c r="D44" i="1"/>
  <c r="D56" i="1"/>
  <c r="D57" i="1"/>
  <c r="J24" i="1" l="1"/>
  <c r="D46" i="1"/>
  <c r="D50" i="1" s="1"/>
  <c r="D45" i="1"/>
  <c r="D51" i="1" s="1"/>
  <c r="C34" i="14" l="1"/>
  <c r="D52" i="1"/>
  <c r="B34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Vishal Gupta</author>
    <author>a0393740</author>
    <author>a0176617</author>
  </authors>
  <commentList>
    <comment ref="G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Min Rlstart allowed.</t>
        </r>
      </text>
    </comment>
    <comment ref="C14" authorId="1" shapeId="0" xr:uid="{00000000-0006-0000-0000-000002000000}">
      <text>
        <r>
          <rPr>
            <sz val="9"/>
            <color indexed="81"/>
            <rFont val="Tahoma"/>
            <family val="2"/>
          </rPr>
          <t>Higher value will limit the input current drawn from source</t>
        </r>
      </text>
    </comment>
    <comment ref="C73" authorId="2" shapeId="0" xr:uid="{00000000-0006-0000-0000-000003000000}">
      <text>
        <r>
          <rPr>
            <b/>
            <sz val="8"/>
            <color indexed="81"/>
            <rFont val="Tahoma"/>
            <family val="2"/>
          </rPr>
          <t>Assumption:</t>
        </r>
        <r>
          <rPr>
            <sz val="8"/>
            <color indexed="81"/>
            <rFont val="Tahoma"/>
            <family val="2"/>
          </rPr>
          <t xml:space="preserve">
Depends on application PCB</t>
        </r>
      </text>
    </comment>
  </commentList>
</comments>
</file>

<file path=xl/sharedStrings.xml><?xml version="1.0" encoding="utf-8"?>
<sst xmlns="http://schemas.openxmlformats.org/spreadsheetml/2006/main" count="253" uniqueCount="178">
  <si>
    <t>Parameter</t>
  </si>
  <si>
    <t>Description</t>
  </si>
  <si>
    <t xml:space="preserve">Value </t>
  </si>
  <si>
    <t xml:space="preserve"> Units</t>
  </si>
  <si>
    <t>A</t>
  </si>
  <si>
    <t>ms</t>
  </si>
  <si>
    <t>V</t>
  </si>
  <si>
    <t>uA</t>
  </si>
  <si>
    <t>nF</t>
  </si>
  <si>
    <t>Maximum system input voltage (magnitude)</t>
  </si>
  <si>
    <t>Cout</t>
  </si>
  <si>
    <t>Load Capacitance</t>
  </si>
  <si>
    <t>uF</t>
  </si>
  <si>
    <t>Imax</t>
  </si>
  <si>
    <t>Maximum continuous load current (magnitude)</t>
  </si>
  <si>
    <t>Ilimit</t>
  </si>
  <si>
    <t>Ilimit_final</t>
  </si>
  <si>
    <t>Final current Limit Set Point</t>
  </si>
  <si>
    <t>Calculated current limit resistor</t>
  </si>
  <si>
    <t>kOhm</t>
  </si>
  <si>
    <t>TA(max)</t>
  </si>
  <si>
    <t>Parameters internal to Device</t>
  </si>
  <si>
    <t>VDSS (max)</t>
  </si>
  <si>
    <t>FET drain-source voltage rating (maximum)</t>
  </si>
  <si>
    <t>ID(max)</t>
  </si>
  <si>
    <t>FET drain-source current rating (maximum)</t>
  </si>
  <si>
    <t>FET maximum Rds(on) at 125degC</t>
  </si>
  <si>
    <t>Rds(on)_max</t>
  </si>
  <si>
    <t>mOhm</t>
  </si>
  <si>
    <t>Rds(on)</t>
  </si>
  <si>
    <t>FET maximum Rds(on) at 25degC</t>
  </si>
  <si>
    <t>Tj(max)</t>
  </si>
  <si>
    <t>Maximum ambient temperature of the application</t>
  </si>
  <si>
    <t>W</t>
  </si>
  <si>
    <t>Deice maximum junction temperature</t>
  </si>
  <si>
    <t>Junction to case (top) Thermal Resistance</t>
  </si>
  <si>
    <t>Junction to ambient thermal resistance</t>
  </si>
  <si>
    <t xml:space="preserve">Junction-to-case(bottom) thermal resistance </t>
  </si>
  <si>
    <t>Charging time set</t>
  </si>
  <si>
    <t>Calculations for Ilimit (resistor on Ilimit Pin)</t>
  </si>
  <si>
    <t>Thermal Parameters</t>
  </si>
  <si>
    <t>Internal FET Parameters</t>
  </si>
  <si>
    <t>Vdrop</t>
  </si>
  <si>
    <t>mV</t>
  </si>
  <si>
    <t>Maximum voltage drop across device @ 25 degC</t>
  </si>
  <si>
    <t xml:space="preserve">Steady state power dissipation with Max current @ 25degC </t>
  </si>
  <si>
    <t>mW</t>
  </si>
  <si>
    <t>Constants Cells</t>
  </si>
  <si>
    <t>Input/SelectCells</t>
  </si>
  <si>
    <t>Calculation Cells</t>
  </si>
  <si>
    <t>Steady state Voltage drop &amp; Power dissipation</t>
  </si>
  <si>
    <t>Total Power dissipation at Start-up</t>
  </si>
  <si>
    <t>Rlstart</t>
  </si>
  <si>
    <t>Load at start-up (assumed to be resistive)</t>
  </si>
  <si>
    <t>Ohm</t>
  </si>
  <si>
    <t>Pd_Rlstart</t>
  </si>
  <si>
    <t>Total power dissipation at start-up</t>
  </si>
  <si>
    <t>Pd_startup</t>
  </si>
  <si>
    <t>Internal Undervoltage reference</t>
  </si>
  <si>
    <t>Internal References</t>
  </si>
  <si>
    <t>R2</t>
  </si>
  <si>
    <t>Select the closest possible value as R2_cal</t>
  </si>
  <si>
    <t>Calculated value of Resistor at UVLO pin</t>
  </si>
  <si>
    <t>Tchmin</t>
  </si>
  <si>
    <t>Minimum charging time</t>
  </si>
  <si>
    <t>reference voltage for setting the current limit</t>
  </si>
  <si>
    <t>pF</t>
  </si>
  <si>
    <t>Tchg_req</t>
  </si>
  <si>
    <t>The charging time required</t>
  </si>
  <si>
    <t>UV_final</t>
  </si>
  <si>
    <t>Ilimit_offset</t>
  </si>
  <si>
    <t>Offset at the Ilimit pin</t>
  </si>
  <si>
    <t>Ilimit_vset</t>
  </si>
  <si>
    <t>Current Limit, 20% higher than maximum continuous load current</t>
  </si>
  <si>
    <t>SELECT A ILIMIT RESISTOR WITH THE CLOSEST AVAILABLE VALUE OF Rilim_Cal</t>
  </si>
  <si>
    <t>Icharge_req</t>
  </si>
  <si>
    <t>Icharge</t>
  </si>
  <si>
    <t>Power dissipation due to load cap at start-up</t>
  </si>
  <si>
    <t>Power dissipation due to load resistance at start-up</t>
  </si>
  <si>
    <t>Tolerance</t>
  </si>
  <si>
    <t>Standard EIA Decade Resistor Values</t>
  </si>
  <si>
    <t>0.5%, 0.25%, 0.1%</t>
  </si>
  <si>
    <t>E6</t>
  </si>
  <si>
    <t>E12</t>
  </si>
  <si>
    <t>E24</t>
  </si>
  <si>
    <t>E48</t>
  </si>
  <si>
    <t>E96</t>
  </si>
  <si>
    <t>E192</t>
  </si>
  <si>
    <t>End Values Required for Processing</t>
  </si>
  <si>
    <t>µF</t>
  </si>
  <si>
    <t>Standard Capacitor Values</t>
  </si>
  <si>
    <t>V/V</t>
  </si>
  <si>
    <t>mF</t>
  </si>
  <si>
    <t>R1: Pullup at UVLO Pin</t>
  </si>
  <si>
    <t>R2_cal</t>
  </si>
  <si>
    <r>
      <t></t>
    </r>
    <r>
      <rPr>
        <sz val="11"/>
        <color theme="1"/>
        <rFont val="Calibri"/>
        <family val="2"/>
        <scheme val="minor"/>
      </rPr>
      <t>C</t>
    </r>
  </si>
  <si>
    <r>
      <t>R</t>
    </r>
    <r>
      <rPr>
        <sz val="10"/>
        <rFont val="Symbol"/>
        <family val="1"/>
        <charset val="2"/>
      </rPr>
      <t></t>
    </r>
    <r>
      <rPr>
        <sz val="11"/>
        <color theme="1"/>
        <rFont val="Calibri"/>
        <family val="2"/>
        <scheme val="minor"/>
      </rPr>
      <t>JC</t>
    </r>
  </si>
  <si>
    <r>
      <t></t>
    </r>
    <r>
      <rPr>
        <sz val="11"/>
        <color theme="1"/>
        <rFont val="Calibri"/>
        <family val="2"/>
        <scheme val="minor"/>
      </rPr>
      <t>C/W</t>
    </r>
  </si>
  <si>
    <r>
      <t>R</t>
    </r>
    <r>
      <rPr>
        <sz val="10"/>
        <rFont val="Symbol"/>
        <family val="1"/>
        <charset val="2"/>
      </rPr>
      <t></t>
    </r>
    <r>
      <rPr>
        <sz val="11"/>
        <color theme="1"/>
        <rFont val="Calibri"/>
        <family val="2"/>
        <scheme val="minor"/>
      </rPr>
      <t>JA</t>
    </r>
  </si>
  <si>
    <r>
      <t>R</t>
    </r>
    <r>
      <rPr>
        <sz val="10"/>
        <rFont val="Symbol"/>
        <family val="1"/>
        <charset val="2"/>
      </rPr>
      <t></t>
    </r>
    <r>
      <rPr>
        <sz val="11"/>
        <color theme="1"/>
        <rFont val="Calibri"/>
        <family val="2"/>
        <scheme val="minor"/>
      </rPr>
      <t>JCbot</t>
    </r>
  </si>
  <si>
    <r>
      <t>R</t>
    </r>
    <r>
      <rPr>
        <sz val="7"/>
        <color theme="1"/>
        <rFont val="Calibri"/>
        <family val="2"/>
        <scheme val="minor"/>
      </rPr>
      <t>LIM</t>
    </r>
  </si>
  <si>
    <t>UVref</t>
  </si>
  <si>
    <t>Calculated, but can be over-ridden by user</t>
  </si>
  <si>
    <t>UVset</t>
  </si>
  <si>
    <r>
      <t>Select the closest available value of R</t>
    </r>
    <r>
      <rPr>
        <sz val="7"/>
        <color theme="1"/>
        <rFont val="Calibri"/>
        <family val="2"/>
        <scheme val="minor"/>
      </rPr>
      <t>LIM</t>
    </r>
    <r>
      <rPr>
        <sz val="11"/>
        <color theme="1"/>
        <rFont val="Calibri"/>
        <family val="2"/>
        <scheme val="minor"/>
      </rPr>
      <t>_cal</t>
    </r>
  </si>
  <si>
    <r>
      <t>R</t>
    </r>
    <r>
      <rPr>
        <sz val="7"/>
        <color theme="1"/>
        <rFont val="Calibri"/>
        <family val="2"/>
        <scheme val="minor"/>
      </rPr>
      <t>LIM</t>
    </r>
    <r>
      <rPr>
        <sz val="11"/>
        <color theme="1"/>
        <rFont val="Calibri"/>
        <family val="2"/>
        <scheme val="minor"/>
      </rPr>
      <t>_cal</t>
    </r>
  </si>
  <si>
    <t>EN_final</t>
  </si>
  <si>
    <t>Release UVLO, Enable Chip (VIN Rising)</t>
  </si>
  <si>
    <t>Power Failure Detection Threshold (VIN  Falling)</t>
  </si>
  <si>
    <t>Thermal Shutdown Time Vs. Power Dissipation</t>
  </si>
  <si>
    <t>Title of Graph</t>
  </si>
  <si>
    <t xml:space="preserve">Power Dissipation </t>
  </si>
  <si>
    <r>
      <t xml:space="preserve"> T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 xml:space="preserve"> = -40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C</t>
    </r>
  </si>
  <si>
    <r>
      <t xml:space="preserve"> T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 xml:space="preserve"> = 25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C</t>
    </r>
  </si>
  <si>
    <r>
      <t xml:space="preserve"> T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 xml:space="preserve"> = 125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C</t>
    </r>
  </si>
  <si>
    <t>Lable</t>
  </si>
  <si>
    <t xml:space="preserve">X-Axis </t>
  </si>
  <si>
    <t xml:space="preserve"> Power Dissipation (W)</t>
  </si>
  <si>
    <t>Will the system have glitch-free startup?</t>
  </si>
  <si>
    <t>Max power dissipation allowed for glitch-free startup for the programmed startup time</t>
  </si>
  <si>
    <t>Tstart</t>
  </si>
  <si>
    <t>Pd</t>
  </si>
  <si>
    <t>Power Fail 
(VIN Falling)</t>
  </si>
  <si>
    <t>Inrush Charging 
Current</t>
  </si>
  <si>
    <t>Overload Curr
Limit</t>
  </si>
  <si>
    <t>Ifstrip</t>
  </si>
  <si>
    <t>Fast-Trip Current Limit to detect short circuit</t>
  </si>
  <si>
    <t>Fastrip Curr
Limit</t>
  </si>
  <si>
    <t>E: Estimated</t>
  </si>
  <si>
    <t>A: Actual Measured</t>
  </si>
  <si>
    <t>E</t>
  </si>
  <si>
    <t>Icharge_fastest</t>
  </si>
  <si>
    <t>Charging (inrush) current desired in the system</t>
  </si>
  <si>
    <t>Recommended
Value</t>
  </si>
  <si>
    <t>Tchg_fastest</t>
  </si>
  <si>
    <t>Does Device Enter Current Limit during start-up?</t>
  </si>
  <si>
    <t>UVLO set point calculations</t>
  </si>
  <si>
    <t>Select a value &gt; 100K to keep I_R12 low</t>
  </si>
  <si>
    <t>SELECT THE VALUE OF RESISTORS AS CLOSEST AVAILABLE VALUE OF R2</t>
  </si>
  <si>
    <t>Current in R1, R2 Branch</t>
  </si>
  <si>
    <t>Pdiss_Imax</t>
  </si>
  <si>
    <t>Calculations for SoftStart control (external cap on dVdT pin)</t>
  </si>
  <si>
    <t>VIN (max)</t>
  </si>
  <si>
    <t>I_R12</t>
  </si>
  <si>
    <t>I_dVdT</t>
  </si>
  <si>
    <t>Gain_dVdT</t>
  </si>
  <si>
    <r>
      <t xml:space="preserve">Charging current when charging at fastest possible rate
</t>
    </r>
    <r>
      <rPr>
        <b/>
        <sz val="11"/>
        <color rgb="FFFF3300"/>
        <rFont val="Calibri"/>
        <family val="2"/>
        <scheme val="minor"/>
      </rPr>
      <t>If this current is &lt; Ilimit, no capacitor is required at dVdT pin</t>
    </r>
  </si>
  <si>
    <t>Internal current charging capacitor on dVdT</t>
  </si>
  <si>
    <t>Internal Gain for dVdT Control</t>
  </si>
  <si>
    <t>No capacitor on dVdT pin, No Load at start-up</t>
  </si>
  <si>
    <t>calculated value of capacitor at dVdT pin for required Tcharge</t>
  </si>
  <si>
    <t>calculated value of capacitor at dVdT pin for required Icharge</t>
  </si>
  <si>
    <t>Cext_dvdt_cal1</t>
  </si>
  <si>
    <t>Cext_dvdt_cal2</t>
  </si>
  <si>
    <t>SELECT A CAPACITOR WITH THE CLOSEST POSSIBLE VALUE to max(Cext_dvdt_cal1, Cext_dvdt_cal2)</t>
  </si>
  <si>
    <t>CdVdT_ext</t>
  </si>
  <si>
    <t>The external capacitor connecetd across dVdT pin</t>
  </si>
  <si>
    <r>
      <t>V</t>
    </r>
    <r>
      <rPr>
        <vertAlign val="subscript"/>
        <sz val="11"/>
        <color theme="1"/>
        <rFont val="Calibri"/>
        <family val="2"/>
        <scheme val="minor"/>
      </rPr>
      <t>OVC</t>
    </r>
  </si>
  <si>
    <t>Version</t>
  </si>
  <si>
    <t>Over Voltage Clamp</t>
  </si>
  <si>
    <t>OV Clamp
(VIN Rising)</t>
  </si>
  <si>
    <t>Release UVLO (VIN Rising)</t>
  </si>
  <si>
    <t>Charging Current as per dVdT setting</t>
  </si>
  <si>
    <t>Tchg_dVdT</t>
  </si>
  <si>
    <t>Pd_Cout_startup</t>
  </si>
  <si>
    <t>TPS25926</t>
  </si>
  <si>
    <t>TPS25925</t>
  </si>
  <si>
    <r>
      <t xml:space="preserve"> T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 xml:space="preserve"> = 85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C</t>
    </r>
  </si>
  <si>
    <t>TPS25923</t>
  </si>
  <si>
    <t>TPS25924</t>
  </si>
  <si>
    <t>TPS25927</t>
  </si>
  <si>
    <t>No Clamp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</si>
  <si>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OVC (V)</t>
    </r>
  </si>
  <si>
    <r>
      <t>Max Rdson (m</t>
    </r>
    <r>
      <rPr>
        <b/>
        <sz val="11"/>
        <color theme="1"/>
        <rFont val="Calibri"/>
        <family val="2"/>
      </rPr>
      <t>Ω</t>
    </r>
    <r>
      <rPr>
        <b/>
        <sz val="9.35"/>
        <color theme="1"/>
        <rFont val="Calibri"/>
        <family val="2"/>
      </rPr>
      <t>) @ 25 degC</t>
    </r>
  </si>
  <si>
    <r>
      <t>Max Rdson (m</t>
    </r>
    <r>
      <rPr>
        <b/>
        <sz val="11"/>
        <color theme="1"/>
        <rFont val="Calibri"/>
        <family val="2"/>
      </rPr>
      <t>Ω</t>
    </r>
    <r>
      <rPr>
        <b/>
        <sz val="9.35"/>
        <color theme="1"/>
        <rFont val="Calibri"/>
        <family val="2"/>
      </rPr>
      <t>) @ 125 degC</t>
    </r>
  </si>
  <si>
    <t>TPS2592xx Design Calculation Tool</t>
  </si>
  <si>
    <t>12V or 5V version</t>
  </si>
  <si>
    <t>Select among TPS25923x/4x/5x/6x  for Over Voltage Clamp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</si>
</sst>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ymbol"/>
      <family val="1"/>
      <charset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333333"/>
      <name val="Arial"/>
      <family val="2"/>
    </font>
    <font>
      <sz val="9"/>
      <color rgb="FF000000"/>
      <name val="Verdana"/>
      <family val="2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16"/>
      <name val="Arial"/>
      <family val="2"/>
    </font>
    <font>
      <sz val="12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Arial"/>
      <family val="2"/>
    </font>
    <font>
      <b/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rgb="FFFF3737"/>
      <name val="Calibri"/>
      <family val="2"/>
      <scheme val="minor"/>
    </font>
    <font>
      <sz val="10.5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3300"/>
      <name val="Calibri"/>
      <family val="2"/>
      <scheme val="minor"/>
    </font>
    <font>
      <b/>
      <sz val="14"/>
      <color rgb="FFFF3300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sz val="9"/>
      <color indexed="81"/>
      <name val="Tahoma"/>
      <family val="2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1"/>
      <color theme="1"/>
      <name val="Calibri"/>
      <family val="2"/>
    </font>
    <font>
      <b/>
      <sz val="9.35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AE7F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gradientFill type="path">
        <stop position="0">
          <color rgb="FF00FFFF"/>
        </stop>
        <stop position="1">
          <color rgb="FFFFFF00"/>
        </stop>
      </gradient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76">
    <xf numFmtId="0" fontId="0" fillId="0" borderId="0" xfId="0"/>
    <xf numFmtId="0" fontId="0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 applyFont="1" applyAlignment="1">
      <alignment horizontal="right" vertical="center" indent="1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12" borderId="1" xfId="0" applyNumberFormat="1" applyFill="1" applyBorder="1" applyAlignment="1">
      <alignment horizontal="center"/>
    </xf>
    <xf numFmtId="1" fontId="0" fillId="13" borderId="1" xfId="0" applyNumberFormat="1" applyFill="1" applyBorder="1" applyAlignment="1">
      <alignment horizontal="center"/>
    </xf>
    <xf numFmtId="1" fontId="0" fillId="14" borderId="1" xfId="0" applyNumberFormat="1" applyFill="1" applyBorder="1" applyAlignment="1">
      <alignment horizontal="center"/>
    </xf>
    <xf numFmtId="1" fontId="0" fillId="16" borderId="1" xfId="0" applyNumberFormat="1" applyFill="1" applyBorder="1" applyAlignment="1">
      <alignment horizontal="center"/>
    </xf>
    <xf numFmtId="1" fontId="0" fillId="15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1" fillId="0" borderId="0" xfId="0" applyFont="1"/>
    <xf numFmtId="0" fontId="13" fillId="11" borderId="8" xfId="0" applyFont="1" applyFill="1" applyBorder="1" applyAlignment="1">
      <alignment horizontal="center" vertical="center" wrapText="1"/>
    </xf>
    <xf numFmtId="164" fontId="14" fillId="0" borderId="8" xfId="0" applyNumberFormat="1" applyFont="1" applyBorder="1" applyAlignment="1">
      <alignment vertical="center" wrapText="1"/>
    </xf>
    <xf numFmtId="0" fontId="16" fillId="0" borderId="0" xfId="2" applyFont="1" applyAlignment="1"/>
    <xf numFmtId="164" fontId="0" fillId="0" borderId="0" xfId="0" applyNumberFormat="1"/>
    <xf numFmtId="2" fontId="18" fillId="5" borderId="1" xfId="0" applyNumberFormat="1" applyFont="1" applyFill="1" applyBorder="1" applyAlignment="1" applyProtection="1">
      <alignment horizontal="right" vertical="center" indent="1"/>
    </xf>
    <xf numFmtId="2" fontId="18" fillId="2" borderId="1" xfId="0" applyNumberFormat="1" applyFont="1" applyFill="1" applyBorder="1" applyAlignment="1" applyProtection="1">
      <alignment horizontal="right" vertical="center" indent="1"/>
    </xf>
    <xf numFmtId="2" fontId="18" fillId="17" borderId="1" xfId="0" applyNumberFormat="1" applyFont="1" applyFill="1" applyBorder="1" applyAlignment="1" applyProtection="1">
      <alignment horizontal="right" vertical="center" indent="1"/>
    </xf>
    <xf numFmtId="2" fontId="18" fillId="8" borderId="1" xfId="0" applyNumberFormat="1" applyFont="1" applyFill="1" applyBorder="1" applyAlignment="1" applyProtection="1">
      <alignment horizontal="right" vertical="center" indent="1"/>
    </xf>
    <xf numFmtId="165" fontId="18" fillId="17" borderId="1" xfId="1" applyNumberFormat="1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vertical="center"/>
    </xf>
    <xf numFmtId="2" fontId="0" fillId="0" borderId="0" xfId="0" applyNumberFormat="1" applyFont="1" applyAlignment="1" applyProtection="1">
      <alignment horizontal="right" vertical="center" indent="1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2" fontId="6" fillId="9" borderId="1" xfId="0" applyNumberFormat="1" applyFont="1" applyFill="1" applyBorder="1" applyAlignment="1" applyProtection="1">
      <alignment horizontal="left" vertical="center"/>
    </xf>
    <xf numFmtId="2" fontId="6" fillId="10" borderId="1" xfId="0" applyNumberFormat="1" applyFont="1" applyFill="1" applyBorder="1" applyAlignment="1" applyProtection="1">
      <alignment vertical="center"/>
    </xf>
    <xf numFmtId="0" fontId="0" fillId="17" borderId="1" xfId="0" applyFont="1" applyFill="1" applyBorder="1" applyAlignment="1" applyProtection="1">
      <alignment vertical="center"/>
    </xf>
    <xf numFmtId="165" fontId="10" fillId="17" borderId="1" xfId="1" applyNumberFormat="1" applyFont="1" applyFill="1" applyBorder="1" applyAlignment="1" applyProtection="1">
      <alignment horizontal="center" vertical="center"/>
    </xf>
    <xf numFmtId="0" fontId="20" fillId="17" borderId="1" xfId="0" applyFont="1" applyFill="1" applyBorder="1" applyAlignment="1" applyProtection="1">
      <alignment horizontal="left" vertical="center"/>
    </xf>
    <xf numFmtId="165" fontId="20" fillId="17" borderId="1" xfId="1" applyNumberFormat="1" applyFont="1" applyFill="1" applyBorder="1" applyAlignment="1" applyProtection="1">
      <alignment horizontal="center" vertical="center"/>
    </xf>
    <xf numFmtId="165" fontId="20" fillId="5" borderId="1" xfId="1" applyNumberFormat="1" applyFont="1" applyFill="1" applyBorder="1" applyAlignment="1" applyProtection="1">
      <alignment horizontal="center" vertical="center"/>
    </xf>
    <xf numFmtId="165" fontId="18" fillId="8" borderId="1" xfId="1" applyNumberFormat="1" applyFont="1" applyFill="1" applyBorder="1" applyAlignment="1" applyProtection="1">
      <alignment horizontal="right" vertical="center" indent="1"/>
    </xf>
    <xf numFmtId="2" fontId="2" fillId="5" borderId="1" xfId="0" applyNumberFormat="1" applyFont="1" applyFill="1" applyBorder="1" applyAlignment="1" applyProtection="1">
      <alignment horizontal="right" vertical="center" indent="1"/>
    </xf>
    <xf numFmtId="0" fontId="6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2" fontId="0" fillId="0" borderId="0" xfId="0" applyNumberFormat="1" applyFont="1" applyAlignment="1" applyProtection="1">
      <alignment vertical="center"/>
    </xf>
    <xf numFmtId="164" fontId="18" fillId="8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</xf>
    <xf numFmtId="0" fontId="3" fillId="17" borderId="1" xfId="0" applyFont="1" applyFill="1" applyBorder="1" applyAlignment="1" applyProtection="1">
      <alignment vertical="center"/>
    </xf>
    <xf numFmtId="165" fontId="3" fillId="17" borderId="1" xfId="1" applyNumberFormat="1" applyFont="1" applyFill="1" applyBorder="1" applyAlignment="1" applyProtection="1">
      <alignment horizontal="center" vertical="center"/>
    </xf>
    <xf numFmtId="2" fontId="18" fillId="8" borderId="1" xfId="0" applyNumberFormat="1" applyFont="1" applyFill="1" applyBorder="1" applyAlignment="1" applyProtection="1">
      <alignment horizontal="right" vertical="center"/>
    </xf>
    <xf numFmtId="2" fontId="18" fillId="18" borderId="1" xfId="0" applyNumberFormat="1" applyFont="1" applyFill="1" applyBorder="1" applyAlignment="1" applyProtection="1">
      <alignment horizontal="right" vertical="center" indent="1"/>
    </xf>
    <xf numFmtId="165" fontId="20" fillId="18" borderId="1" xfId="1" applyNumberFormat="1" applyFont="1" applyFill="1" applyBorder="1" applyAlignment="1" applyProtection="1">
      <alignment horizontal="center" vertical="center"/>
    </xf>
    <xf numFmtId="2" fontId="18" fillId="19" borderId="1" xfId="0" applyNumberFormat="1" applyFont="1" applyFill="1" applyBorder="1" applyAlignment="1" applyProtection="1">
      <alignment horizontal="right" vertical="center" indent="1"/>
    </xf>
    <xf numFmtId="164" fontId="18" fillId="19" borderId="1" xfId="0" applyNumberFormat="1" applyFont="1" applyFill="1" applyBorder="1" applyAlignment="1" applyProtection="1">
      <alignment horizontal="right" vertical="center" indent="1"/>
    </xf>
    <xf numFmtId="165" fontId="10" fillId="19" borderId="1" xfId="1" applyNumberFormat="1" applyFont="1" applyFill="1" applyBorder="1" applyAlignment="1" applyProtection="1">
      <alignment horizontal="center" vertical="center"/>
    </xf>
    <xf numFmtId="165" fontId="20" fillId="19" borderId="1" xfId="1" applyNumberFormat="1" applyFont="1" applyFill="1" applyBorder="1" applyAlignment="1" applyProtection="1">
      <alignment horizontal="center" vertical="center"/>
    </xf>
    <xf numFmtId="0" fontId="20" fillId="20" borderId="2" xfId="0" applyFont="1" applyFill="1" applyBorder="1" applyAlignment="1" applyProtection="1">
      <alignment horizontal="center" vertical="center"/>
    </xf>
    <xf numFmtId="2" fontId="20" fillId="20" borderId="3" xfId="0" applyNumberFormat="1" applyFont="1" applyFill="1" applyBorder="1" applyAlignment="1" applyProtection="1">
      <alignment horizontal="right" vertical="center" indent="1"/>
    </xf>
    <xf numFmtId="0" fontId="20" fillId="20" borderId="4" xfId="0" applyFont="1" applyFill="1" applyBorder="1" applyAlignment="1" applyProtection="1">
      <alignment horizontal="left" vertical="center"/>
    </xf>
    <xf numFmtId="0" fontId="20" fillId="20" borderId="4" xfId="0" applyFont="1" applyFill="1" applyBorder="1" applyAlignment="1" applyProtection="1">
      <alignment horizontal="center" vertical="center"/>
    </xf>
    <xf numFmtId="2" fontId="24" fillId="5" borderId="1" xfId="0" applyNumberFormat="1" applyFont="1" applyFill="1" applyBorder="1" applyAlignment="1" applyProtection="1">
      <alignment horizontal="right" vertical="center" indent="1"/>
    </xf>
    <xf numFmtId="0" fontId="24" fillId="17" borderId="1" xfId="0" applyFont="1" applyFill="1" applyBorder="1" applyAlignment="1" applyProtection="1">
      <alignment horizontal="left" vertical="center"/>
    </xf>
    <xf numFmtId="165" fontId="24" fillId="5" borderId="1" xfId="1" applyNumberFormat="1" applyFont="1" applyFill="1" applyBorder="1" applyAlignment="1" applyProtection="1">
      <alignment horizontal="center" vertical="center"/>
    </xf>
    <xf numFmtId="0" fontId="23" fillId="0" borderId="0" xfId="0" applyFont="1" applyAlignment="1">
      <alignment vertical="center"/>
    </xf>
    <xf numFmtId="2" fontId="23" fillId="0" borderId="0" xfId="0" applyNumberFormat="1" applyFont="1" applyAlignment="1">
      <alignment vertical="center"/>
    </xf>
    <xf numFmtId="0" fontId="23" fillId="17" borderId="1" xfId="0" applyFont="1" applyFill="1" applyBorder="1" applyAlignment="1" applyProtection="1">
      <alignment vertical="center"/>
    </xf>
    <xf numFmtId="165" fontId="23" fillId="5" borderId="1" xfId="1" applyNumberFormat="1" applyFont="1" applyFill="1" applyBorder="1" applyAlignment="1" applyProtection="1">
      <alignment horizontal="center" vertical="center"/>
    </xf>
    <xf numFmtId="0" fontId="18" fillId="17" borderId="1" xfId="0" applyFont="1" applyFill="1" applyBorder="1" applyAlignment="1" applyProtection="1">
      <alignment horizontal="left" vertical="center"/>
    </xf>
    <xf numFmtId="165" fontId="18" fillId="5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64" fontId="18" fillId="5" borderId="1" xfId="0" applyNumberFormat="1" applyFont="1" applyFill="1" applyBorder="1" applyAlignment="1" applyProtection="1">
      <alignment horizontal="right" vertical="center" indent="1"/>
    </xf>
    <xf numFmtId="165" fontId="10" fillId="17" borderId="9" xfId="1" applyNumberFormat="1" applyFont="1" applyFill="1" applyBorder="1" applyAlignment="1" applyProtection="1">
      <alignment horizontal="center" vertical="center"/>
    </xf>
    <xf numFmtId="165" fontId="10" fillId="19" borderId="9" xfId="1" applyNumberFormat="1" applyFont="1" applyFill="1" applyBorder="1" applyAlignment="1" applyProtection="1">
      <alignment horizontal="center" vertical="center"/>
    </xf>
    <xf numFmtId="0" fontId="0" fillId="18" borderId="5" xfId="0" applyFont="1" applyFill="1" applyBorder="1" applyAlignment="1" applyProtection="1">
      <alignment vertical="center"/>
    </xf>
    <xf numFmtId="0" fontId="0" fillId="17" borderId="7" xfId="0" applyFont="1" applyFill="1" applyBorder="1" applyAlignment="1" applyProtection="1">
      <alignment horizontal="left" vertical="center"/>
    </xf>
    <xf numFmtId="165" fontId="10" fillId="17" borderId="10" xfId="1" applyNumberFormat="1" applyFont="1" applyFill="1" applyBorder="1" applyAlignment="1" applyProtection="1">
      <alignment horizontal="center" vertical="center"/>
    </xf>
    <xf numFmtId="2" fontId="18" fillId="18" borderId="7" xfId="0" applyNumberFormat="1" applyFont="1" applyFill="1" applyBorder="1" applyAlignment="1" applyProtection="1">
      <alignment horizontal="right" vertical="center" indent="1"/>
    </xf>
    <xf numFmtId="0" fontId="25" fillId="0" borderId="6" xfId="0" applyFont="1" applyBorder="1" applyAlignment="1" applyProtection="1">
      <alignment horizontal="left" indent="1"/>
      <protection locked="0"/>
    </xf>
    <xf numFmtId="0" fontId="25" fillId="0" borderId="6" xfId="0" applyFont="1" applyBorder="1" applyAlignment="1" applyProtection="1">
      <alignment horizontal="center"/>
      <protection locked="0"/>
    </xf>
    <xf numFmtId="0" fontId="0" fillId="0" borderId="0" xfId="0" applyAlignment="1"/>
    <xf numFmtId="0" fontId="0" fillId="21" borderId="0" xfId="0" applyFill="1" applyAlignment="1"/>
    <xf numFmtId="0" fontId="0" fillId="0" borderId="6" xfId="0" applyBorder="1" applyAlignment="1"/>
    <xf numFmtId="0" fontId="0" fillId="0" borderId="0" xfId="0" applyAlignment="1">
      <alignment horizontal="left" indent="1"/>
    </xf>
    <xf numFmtId="2" fontId="0" fillId="0" borderId="0" xfId="0" applyNumberFormat="1" applyAlignment="1">
      <alignment horizontal="center"/>
    </xf>
    <xf numFmtId="0" fontId="0" fillId="22" borderId="0" xfId="0" applyFill="1" applyAlignment="1"/>
    <xf numFmtId="0" fontId="1" fillId="0" borderId="0" xfId="0" applyFont="1" applyAlignment="1">
      <alignment horizontal="left" indent="1"/>
    </xf>
    <xf numFmtId="0" fontId="0" fillId="23" borderId="0" xfId="0" applyFill="1" applyAlignment="1"/>
    <xf numFmtId="0" fontId="1" fillId="0" borderId="0" xfId="0" applyFont="1" applyAlignment="1">
      <alignment horizontal="left"/>
    </xf>
    <xf numFmtId="2" fontId="29" fillId="0" borderId="0" xfId="0" applyNumberFormat="1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19" borderId="1" xfId="0" applyFont="1" applyFill="1" applyBorder="1" applyAlignment="1" applyProtection="1">
      <alignment vertical="center"/>
    </xf>
    <xf numFmtId="0" fontId="19" fillId="20" borderId="1" xfId="0" applyFont="1" applyFill="1" applyBorder="1" applyAlignment="1" applyProtection="1">
      <alignment vertical="center" wrapText="1"/>
    </xf>
    <xf numFmtId="2" fontId="19" fillId="20" borderId="1" xfId="0" applyNumberFormat="1" applyFont="1" applyFill="1" applyBorder="1" applyAlignment="1" applyProtection="1">
      <alignment horizontal="right" vertical="center" wrapText="1" indent="1"/>
    </xf>
    <xf numFmtId="0" fontId="19" fillId="20" borderId="1" xfId="0" applyFont="1" applyFill="1" applyBorder="1" applyAlignment="1" applyProtection="1">
      <alignment horizontal="center" vertical="center" wrapText="1"/>
    </xf>
    <xf numFmtId="0" fontId="0" fillId="7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0" fillId="18" borderId="1" xfId="0" applyFont="1" applyFill="1" applyBorder="1" applyAlignment="1" applyProtection="1">
      <alignment vertical="center"/>
    </xf>
    <xf numFmtId="0" fontId="23" fillId="4" borderId="1" xfId="0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0" fillId="4" borderId="1" xfId="0" applyFont="1" applyFill="1" applyBorder="1" applyAlignment="1" applyProtection="1">
      <alignment vertical="center"/>
    </xf>
    <xf numFmtId="2" fontId="2" fillId="2" borderId="1" xfId="0" applyNumberFormat="1" applyFont="1" applyFill="1" applyBorder="1" applyAlignment="1" applyProtection="1">
      <alignment horizontal="right" vertical="center" indent="1"/>
    </xf>
    <xf numFmtId="0" fontId="23" fillId="7" borderId="1" xfId="0" applyFont="1" applyFill="1" applyBorder="1" applyAlignment="1" applyProtection="1">
      <alignment vertical="center"/>
    </xf>
    <xf numFmtId="0" fontId="11" fillId="6" borderId="1" xfId="0" applyFont="1" applyFill="1" applyBorder="1" applyAlignment="1" applyProtection="1">
      <alignment horizontal="center" vertical="center"/>
    </xf>
    <xf numFmtId="2" fontId="11" fillId="6" borderId="1" xfId="0" applyNumberFormat="1" applyFont="1" applyFill="1" applyBorder="1" applyAlignment="1" applyProtection="1">
      <alignment horizontal="right" vertical="center" indent="1"/>
    </xf>
    <xf numFmtId="0" fontId="11" fillId="6" borderId="1" xfId="0" applyFont="1" applyFill="1" applyBorder="1" applyAlignment="1" applyProtection="1">
      <alignment horizontal="left" vertical="center"/>
    </xf>
    <xf numFmtId="2" fontId="28" fillId="5" borderId="1" xfId="0" applyNumberFormat="1" applyFont="1" applyFill="1" applyBorder="1" applyAlignment="1" applyProtection="1">
      <alignment horizontal="right" vertical="center" indent="1"/>
    </xf>
    <xf numFmtId="0" fontId="20" fillId="3" borderId="1" xfId="0" applyFont="1" applyFill="1" applyBorder="1" applyAlignment="1" applyProtection="1">
      <alignment horizontal="center" vertical="center"/>
    </xf>
    <xf numFmtId="2" fontId="20" fillId="3" borderId="1" xfId="0" applyNumberFormat="1" applyFont="1" applyFill="1" applyBorder="1" applyAlignment="1" applyProtection="1">
      <alignment horizontal="center" vertical="center"/>
    </xf>
    <xf numFmtId="0" fontId="20" fillId="3" borderId="1" xfId="0" applyFont="1" applyFill="1" applyBorder="1" applyAlignment="1" applyProtection="1">
      <alignment horizontal="left" vertical="center"/>
    </xf>
    <xf numFmtId="0" fontId="30" fillId="20" borderId="1" xfId="0" applyFont="1" applyFill="1" applyBorder="1" applyAlignment="1" applyProtection="1">
      <alignment vertical="center"/>
    </xf>
    <xf numFmtId="0" fontId="31" fillId="0" borderId="0" xfId="0" applyFont="1" applyAlignment="1" applyProtection="1">
      <alignment vertical="center"/>
    </xf>
    <xf numFmtId="1" fontId="0" fillId="0" borderId="0" xfId="0" applyNumberFormat="1" applyFont="1" applyAlignment="1">
      <alignment vertical="center"/>
    </xf>
    <xf numFmtId="0" fontId="0" fillId="0" borderId="0" xfId="0" applyFont="1" applyAlignment="1">
      <alignment horizontal="right" vertical="center"/>
    </xf>
    <xf numFmtId="2" fontId="0" fillId="0" borderId="0" xfId="0" applyNumberFormat="1" applyFont="1" applyAlignment="1">
      <alignment horizontal="left" vertical="center"/>
    </xf>
    <xf numFmtId="0" fontId="33" fillId="0" borderId="0" xfId="0" applyFont="1"/>
    <xf numFmtId="0" fontId="32" fillId="0" borderId="0" xfId="0" applyFont="1"/>
    <xf numFmtId="0" fontId="34" fillId="0" borderId="0" xfId="0" applyFont="1"/>
    <xf numFmtId="2" fontId="35" fillId="8" borderId="1" xfId="0" applyNumberFormat="1" applyFont="1" applyFill="1" applyBorder="1" applyAlignment="1" applyProtection="1">
      <alignment horizontal="righ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0" fillId="7" borderId="1" xfId="0" applyFont="1" applyFill="1" applyBorder="1" applyAlignment="1" applyProtection="1">
      <alignment vertical="center" wrapText="1"/>
    </xf>
    <xf numFmtId="1" fontId="18" fillId="8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vertical="center" wrapText="1"/>
    </xf>
    <xf numFmtId="0" fontId="0" fillId="19" borderId="0" xfId="0" applyFont="1" applyFill="1" applyBorder="1" applyAlignment="1" applyProtection="1">
      <alignment vertical="center" wrapText="1"/>
    </xf>
    <xf numFmtId="0" fontId="0" fillId="18" borderId="0" xfId="0" applyFont="1" applyFill="1" applyBorder="1" applyAlignment="1" applyProtection="1">
      <alignment vertical="center" wrapText="1"/>
    </xf>
    <xf numFmtId="0" fontId="20" fillId="20" borderId="3" xfId="0" applyFont="1" applyFill="1" applyBorder="1" applyAlignment="1" applyProtection="1">
      <alignment horizontal="center" vertical="center" wrapText="1"/>
    </xf>
    <xf numFmtId="0" fontId="0" fillId="19" borderId="1" xfId="0" applyFont="1" applyFill="1" applyBorder="1" applyAlignment="1" applyProtection="1">
      <alignment vertical="center" wrapText="1"/>
    </xf>
    <xf numFmtId="0" fontId="7" fillId="19" borderId="1" xfId="0" applyFont="1" applyFill="1" applyBorder="1" applyAlignment="1" applyProtection="1">
      <alignment vertical="center" wrapText="1"/>
    </xf>
    <xf numFmtId="0" fontId="0" fillId="18" borderId="5" xfId="0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0" fillId="18" borderId="1" xfId="0" applyFont="1" applyFill="1" applyBorder="1" applyAlignment="1" applyProtection="1">
      <alignment vertical="center" wrapText="1"/>
    </xf>
    <xf numFmtId="0" fontId="23" fillId="4" borderId="1" xfId="0" applyFont="1" applyFill="1" applyBorder="1" applyAlignment="1" applyProtection="1">
      <alignment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vertical="center" wrapText="1"/>
    </xf>
    <xf numFmtId="0" fontId="23" fillId="7" borderId="1" xfId="0" applyFont="1" applyFill="1" applyBorder="1" applyAlignment="1" applyProtection="1">
      <alignment vertical="center" wrapText="1"/>
    </xf>
    <xf numFmtId="0" fontId="11" fillId="6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 wrapText="1"/>
    </xf>
    <xf numFmtId="165" fontId="10" fillId="17" borderId="13" xfId="1" applyNumberFormat="1" applyFont="1" applyFill="1" applyBorder="1" applyAlignment="1" applyProtection="1">
      <alignment horizontal="center" vertical="center"/>
    </xf>
    <xf numFmtId="2" fontId="38" fillId="0" borderId="0" xfId="0" applyNumberFormat="1" applyFont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20" fillId="20" borderId="14" xfId="0" applyFont="1" applyFill="1" applyBorder="1" applyAlignment="1" applyProtection="1">
      <alignment horizontal="left" vertical="center"/>
    </xf>
    <xf numFmtId="0" fontId="20" fillId="20" borderId="15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29" fillId="0" borderId="1" xfId="0" applyNumberFormat="1" applyFont="1" applyBorder="1" applyAlignment="1">
      <alignment horizontal="left" vertical="center"/>
    </xf>
    <xf numFmtId="164" fontId="0" fillId="0" borderId="0" xfId="0" applyNumberFormat="1" applyAlignment="1"/>
    <xf numFmtId="0" fontId="25" fillId="0" borderId="11" xfId="0" applyFont="1" applyBorder="1" applyAlignment="1" applyProtection="1">
      <alignment horizontal="center"/>
      <protection locked="0"/>
    </xf>
    <xf numFmtId="0" fontId="25" fillId="0" borderId="12" xfId="0" applyFont="1" applyBorder="1" applyAlignment="1" applyProtection="1">
      <alignment horizontal="center"/>
      <protection locked="0"/>
    </xf>
    <xf numFmtId="0" fontId="6" fillId="24" borderId="0" xfId="0" applyFont="1" applyFill="1" applyBorder="1" applyAlignment="1" applyProtection="1">
      <alignment horizontal="right"/>
      <protection locked="0"/>
    </xf>
    <xf numFmtId="0" fontId="25" fillId="24" borderId="0" xfId="0" applyFont="1" applyFill="1" applyBorder="1" applyAlignment="1" applyProtection="1">
      <alignment horizontal="center"/>
      <protection locked="0"/>
    </xf>
    <xf numFmtId="0" fontId="0" fillId="24" borderId="0" xfId="0" applyFill="1"/>
    <xf numFmtId="2" fontId="0" fillId="24" borderId="0" xfId="0" applyNumberFormat="1" applyFill="1" applyAlignment="1">
      <alignment horizontal="center"/>
    </xf>
    <xf numFmtId="1" fontId="0" fillId="24" borderId="0" xfId="0" applyNumberFormat="1" applyFill="1" applyAlignment="1">
      <alignment horizontal="right"/>
    </xf>
    <xf numFmtId="0" fontId="42" fillId="0" borderId="0" xfId="0" applyFont="1"/>
    <xf numFmtId="49" fontId="28" fillId="19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8" fillId="5" borderId="1" xfId="0" applyNumberFormat="1" applyFont="1" applyFill="1" applyBorder="1" applyAlignment="1" applyProtection="1">
      <alignment horizontal="right" vertical="center" indent="1"/>
    </xf>
    <xf numFmtId="0" fontId="0" fillId="0" borderId="1" xfId="0" applyNumberFormat="1" applyFont="1" applyBorder="1" applyAlignment="1">
      <alignment horizontal="left" vertical="center"/>
    </xf>
    <xf numFmtId="0" fontId="30" fillId="20" borderId="1" xfId="0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1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FFFF"/>
      <color rgb="FFFF3300"/>
      <color rgb="FF0000FF"/>
      <color rgb="FFFFFF99"/>
      <color rgb="FFFFFFCC"/>
      <color rgb="FF969696"/>
      <color rgb="FF33CC33"/>
      <color rgb="FF003366"/>
      <color rgb="FFFF6A47"/>
      <color rgb="FFF5F5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VIN</a:t>
            </a:r>
            <a:r>
              <a:rPr lang="en-US" baseline="0"/>
              <a:t> Thresholds Progm'd</a:t>
            </a:r>
            <a:endParaRPr lang="en-US"/>
          </a:p>
        </c:rich>
      </c:tx>
      <c:layout>
        <c:manualLayout>
          <c:xMode val="edge"/>
          <c:yMode val="edge"/>
          <c:x val="0.1100699912217003"/>
          <c:y val="0.7058056245390509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985393967418887E-2"/>
          <c:y val="4.7291727471401007E-2"/>
          <c:w val="0.89078395941600841"/>
          <c:h val="0.82909287641393248"/>
        </c:manualLayout>
      </c:layout>
      <c:lineChart>
        <c:grouping val="standard"/>
        <c:varyColors val="0"/>
        <c:ser>
          <c:idx val="0"/>
          <c:order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D6-44CD-A9F2-27E686FC9F0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'Calculation Sheet'!$K$15:$K$17</c:f>
              <c:strCache>
                <c:ptCount val="3"/>
                <c:pt idx="0">
                  <c:v>Power Fail 
(VIN Falling)</c:v>
                </c:pt>
                <c:pt idx="1">
                  <c:v>Release UVLO (VIN Rising)</c:v>
                </c:pt>
                <c:pt idx="2">
                  <c:v>OV Clamp
(VIN Rising)</c:v>
                </c:pt>
              </c:strCache>
            </c:strRef>
          </c:cat>
          <c:val>
            <c:numRef>
              <c:f>'Calculation Sheet'!$J$15:$J$16</c:f>
              <c:numCache>
                <c:formatCode>0.00</c:formatCode>
                <c:ptCount val="2"/>
                <c:pt idx="0">
                  <c:v>3.9918786692759296</c:v>
                </c:pt>
                <c:pt idx="1">
                  <c:v>4.1397260273972609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D6-44CD-A9F2-27E686FC9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91360"/>
        <c:axId val="93792896"/>
      </c:lineChart>
      <c:catAx>
        <c:axId val="93791360"/>
        <c:scaling>
          <c:orientation val="minMax"/>
        </c:scaling>
        <c:delete val="0"/>
        <c:axPos val="b"/>
        <c:majorGridlines/>
        <c:min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93792896"/>
        <c:crosses val="autoZero"/>
        <c:auto val="0"/>
        <c:lblAlgn val="ctr"/>
        <c:lblOffset val="100"/>
        <c:noMultiLvlLbl val="0"/>
      </c:catAx>
      <c:valAx>
        <c:axId val="937928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3791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Current Limits Progm'd</a:t>
            </a:r>
          </a:p>
        </c:rich>
      </c:tx>
      <c:layout>
        <c:manualLayout>
          <c:xMode val="edge"/>
          <c:yMode val="edge"/>
          <c:x val="8.9291557305336833E-2"/>
          <c:y val="4.00673166976598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85739282589675E-2"/>
          <c:y val="6.3406866699778158E-2"/>
          <c:w val="0.87635870516185477"/>
          <c:h val="0.74093122032697456"/>
        </c:manualLayout>
      </c:layout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'Calculation Sheet'!$K$24:$K$26</c:f>
              <c:strCache>
                <c:ptCount val="3"/>
                <c:pt idx="0">
                  <c:v>Inrush Charging 
Current</c:v>
                </c:pt>
                <c:pt idx="1">
                  <c:v>Overload Curr
Limit</c:v>
                </c:pt>
                <c:pt idx="2">
                  <c:v>Fastrip Curr
Limit</c:v>
                </c:pt>
              </c:strCache>
            </c:strRef>
          </c:cat>
          <c:val>
            <c:numRef>
              <c:f>'Calculation Sheet'!$J$24:$J$26</c:f>
              <c:numCache>
                <c:formatCode>0.00</c:formatCode>
                <c:ptCount val="3"/>
                <c:pt idx="0">
                  <c:v>1.524285714285714E-2</c:v>
                </c:pt>
                <c:pt idx="1">
                  <c:v>3.7</c:v>
                </c:pt>
                <c:pt idx="2">
                  <c:v>5.9200000000000008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57-4CE3-A529-B4823002B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09280"/>
        <c:axId val="93835648"/>
      </c:lineChart>
      <c:catAx>
        <c:axId val="93809280"/>
        <c:scaling>
          <c:orientation val="minMax"/>
        </c:scaling>
        <c:delete val="0"/>
        <c:axPos val="b"/>
        <c:majorGridlines/>
        <c:min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93835648"/>
        <c:crosses val="autoZero"/>
        <c:auto val="0"/>
        <c:lblAlgn val="ctr"/>
        <c:lblOffset val="100"/>
        <c:noMultiLvlLbl val="0"/>
      </c:catAx>
      <c:valAx>
        <c:axId val="938356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3809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'Thermal Shutdown Limit Plot'!$J$1</c:f>
          <c:strCache>
            <c:ptCount val="1"/>
            <c:pt idx="0">
              <c:v>Thermal Shutdown Time Vs. Power Dissipation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290427794390517"/>
          <c:y val="7.2679001248039277E-2"/>
          <c:w val="0.73209137791280654"/>
          <c:h val="0.70854001086986751"/>
        </c:manualLayout>
      </c:layout>
      <c:scatterChart>
        <c:scatterStyle val="lineMarker"/>
        <c:varyColors val="0"/>
        <c:ser>
          <c:idx val="4"/>
          <c:order val="4"/>
          <c:tx>
            <c:v>Calculated Point</c:v>
          </c:tx>
          <c:spPr>
            <a:ln w="12700" cap="sq">
              <a:solidFill>
                <a:srgbClr val="00FFFF"/>
              </a:solidFill>
            </a:ln>
          </c:spPr>
          <c:marker>
            <c:symbol val="square"/>
            <c:size val="15"/>
            <c:spPr>
              <a:solidFill>
                <a:srgbClr val="00FFFF"/>
              </a:solidFill>
              <a:ln w="12700">
                <a:solidFill>
                  <a:srgbClr val="00FFFF"/>
                </a:solidFill>
              </a:ln>
            </c:spPr>
          </c:marker>
          <c:dLbls>
            <c:dLbl>
              <c:idx val="0"/>
              <c:layout>
                <c:manualLayout>
                  <c:x val="-0.21514995341320911"/>
                  <c:y val="4.0631038328659205E-3"/>
                </c:manualLayout>
              </c:layout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01-4489-9590-857863AD6722}"/>
                </c:ext>
              </c:extLst>
            </c:dLbl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'Thermal Shutdown Limit Plot'!$B$34:$B$35</c:f>
              <c:numCache>
                <c:formatCode>0.00</c:formatCode>
                <c:ptCount val="2"/>
                <c:pt idx="0">
                  <c:v>1.0797738095238094</c:v>
                </c:pt>
              </c:numCache>
            </c:numRef>
          </c:xVal>
          <c:yVal>
            <c:numRef>
              <c:f>'Thermal Shutdown Limit Plot'!$C$34:$C$35</c:f>
              <c:numCache>
                <c:formatCode>0.00</c:formatCode>
                <c:ptCount val="2"/>
                <c:pt idx="0">
                  <c:v>0.3280224929709466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01-4489-9590-857863AD6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24608"/>
        <c:axId val="95926528"/>
      </c:scatterChart>
      <c:scatterChart>
        <c:scatterStyle val="smoothMarker"/>
        <c:varyColors val="0"/>
        <c:ser>
          <c:idx val="0"/>
          <c:order val="0"/>
          <c:tx>
            <c:strRef>
              <c:f>'Thermal Shutdown Limit Plot'!$B$2</c:f>
              <c:strCache>
                <c:ptCount val="1"/>
                <c:pt idx="0">
                  <c:v> TA = -40 C</c:v>
                </c:pt>
              </c:strCache>
            </c:strRef>
          </c:tx>
          <c:marker>
            <c:symbol val="none"/>
          </c:marker>
          <c:xVal>
            <c:numRef>
              <c:f>'Thermal Shutdown Limit Plot'!$A$7:$A$28</c:f>
              <c:numCache>
                <c:formatCode>General</c:formatCode>
                <c:ptCount val="22"/>
                <c:pt idx="0">
                  <c:v>2.06</c:v>
                </c:pt>
                <c:pt idx="1">
                  <c:v>2.14</c:v>
                </c:pt>
                <c:pt idx="2">
                  <c:v>2.25</c:v>
                </c:pt>
                <c:pt idx="3">
                  <c:v>2.41</c:v>
                </c:pt>
                <c:pt idx="4">
                  <c:v>2.57</c:v>
                </c:pt>
                <c:pt idx="5">
                  <c:v>2.74</c:v>
                </c:pt>
                <c:pt idx="6">
                  <c:v>2.87</c:v>
                </c:pt>
                <c:pt idx="7">
                  <c:v>3.03</c:v>
                </c:pt>
                <c:pt idx="8">
                  <c:v>3.2</c:v>
                </c:pt>
                <c:pt idx="9">
                  <c:v>3.33</c:v>
                </c:pt>
                <c:pt idx="10">
                  <c:v>5</c:v>
                </c:pt>
                <c:pt idx="11">
                  <c:v>7.3</c:v>
                </c:pt>
                <c:pt idx="12">
                  <c:v>7.8</c:v>
                </c:pt>
                <c:pt idx="13">
                  <c:v>10</c:v>
                </c:pt>
                <c:pt idx="14">
                  <c:v>15</c:v>
                </c:pt>
                <c:pt idx="15">
                  <c:v>20</c:v>
                </c:pt>
                <c:pt idx="16">
                  <c:v>25</c:v>
                </c:pt>
                <c:pt idx="17">
                  <c:v>30</c:v>
                </c:pt>
                <c:pt idx="18">
                  <c:v>35</c:v>
                </c:pt>
                <c:pt idx="19">
                  <c:v>40</c:v>
                </c:pt>
                <c:pt idx="20">
                  <c:v>45</c:v>
                </c:pt>
                <c:pt idx="21">
                  <c:v>52</c:v>
                </c:pt>
              </c:numCache>
            </c:numRef>
          </c:xVal>
          <c:yVal>
            <c:numRef>
              <c:f>('Thermal Shutdown Limit Plot'!$B$7:$B$28,'Thermal Shutdown Limit Plot'!$B$34)</c:f>
              <c:numCache>
                <c:formatCode>0.00</c:formatCode>
                <c:ptCount val="23"/>
                <c:pt idx="12" formatCode="0">
                  <c:v>9357</c:v>
                </c:pt>
                <c:pt idx="13" formatCode="General">
                  <c:v>867</c:v>
                </c:pt>
                <c:pt idx="14" formatCode="General">
                  <c:v>101</c:v>
                </c:pt>
                <c:pt idx="15" formatCode="General">
                  <c:v>32.700000000000003</c:v>
                </c:pt>
                <c:pt idx="16" formatCode="General">
                  <c:v>17.18</c:v>
                </c:pt>
                <c:pt idx="17" formatCode="General">
                  <c:v>10.86</c:v>
                </c:pt>
                <c:pt idx="18" formatCode="General">
                  <c:v>5.96</c:v>
                </c:pt>
                <c:pt idx="19" formatCode="General">
                  <c:v>4.6315</c:v>
                </c:pt>
                <c:pt idx="20" formatCode="General">
                  <c:v>3.18</c:v>
                </c:pt>
                <c:pt idx="21" formatCode="General">
                  <c:v>2.2599999999999998</c:v>
                </c:pt>
                <c:pt idx="22">
                  <c:v>1.0797738095238094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101-4489-9590-857863AD6722}"/>
            </c:ext>
          </c:extLst>
        </c:ser>
        <c:ser>
          <c:idx val="1"/>
          <c:order val="1"/>
          <c:tx>
            <c:strRef>
              <c:f>'Thermal Shutdown Limit Plot'!$C$2</c:f>
              <c:strCache>
                <c:ptCount val="1"/>
                <c:pt idx="0">
                  <c:v> TA = 25 C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'Thermal Shutdown Limit Plot'!$A$7:$A$28</c:f>
              <c:numCache>
                <c:formatCode>General</c:formatCode>
                <c:ptCount val="22"/>
                <c:pt idx="0">
                  <c:v>2.06</c:v>
                </c:pt>
                <c:pt idx="1">
                  <c:v>2.14</c:v>
                </c:pt>
                <c:pt idx="2">
                  <c:v>2.25</c:v>
                </c:pt>
                <c:pt idx="3">
                  <c:v>2.41</c:v>
                </c:pt>
                <c:pt idx="4">
                  <c:v>2.57</c:v>
                </c:pt>
                <c:pt idx="5">
                  <c:v>2.74</c:v>
                </c:pt>
                <c:pt idx="6">
                  <c:v>2.87</c:v>
                </c:pt>
                <c:pt idx="7">
                  <c:v>3.03</c:v>
                </c:pt>
                <c:pt idx="8">
                  <c:v>3.2</c:v>
                </c:pt>
                <c:pt idx="9">
                  <c:v>3.33</c:v>
                </c:pt>
                <c:pt idx="10">
                  <c:v>5</c:v>
                </c:pt>
                <c:pt idx="11">
                  <c:v>7.3</c:v>
                </c:pt>
                <c:pt idx="12">
                  <c:v>7.8</c:v>
                </c:pt>
                <c:pt idx="13">
                  <c:v>10</c:v>
                </c:pt>
                <c:pt idx="14">
                  <c:v>15</c:v>
                </c:pt>
                <c:pt idx="15">
                  <c:v>20</c:v>
                </c:pt>
                <c:pt idx="16">
                  <c:v>25</c:v>
                </c:pt>
                <c:pt idx="17">
                  <c:v>30</c:v>
                </c:pt>
                <c:pt idx="18">
                  <c:v>35</c:v>
                </c:pt>
                <c:pt idx="19">
                  <c:v>40</c:v>
                </c:pt>
                <c:pt idx="20">
                  <c:v>45</c:v>
                </c:pt>
                <c:pt idx="21">
                  <c:v>52</c:v>
                </c:pt>
              </c:numCache>
            </c:numRef>
          </c:xVal>
          <c:yVal>
            <c:numRef>
              <c:f>('Thermal Shutdown Limit Plot'!$C$7:$C$28,'Thermal Shutdown Limit Plot'!$C$34)</c:f>
              <c:numCache>
                <c:formatCode>0.00</c:formatCode>
                <c:ptCount val="23"/>
                <c:pt idx="8" formatCode="General">
                  <c:v>13698</c:v>
                </c:pt>
                <c:pt idx="9" formatCode="General">
                  <c:v>9564</c:v>
                </c:pt>
                <c:pt idx="10" formatCode="General">
                  <c:v>1096</c:v>
                </c:pt>
                <c:pt idx="11" formatCode="General">
                  <c:v>208</c:v>
                </c:pt>
                <c:pt idx="12" formatCode="General">
                  <c:v>160</c:v>
                </c:pt>
                <c:pt idx="13" formatCode="General">
                  <c:v>76.5</c:v>
                </c:pt>
                <c:pt idx="14" formatCode="General">
                  <c:v>19.440000000000001</c:v>
                </c:pt>
                <c:pt idx="15" formatCode="General">
                  <c:v>9.33</c:v>
                </c:pt>
                <c:pt idx="16" formatCode="General">
                  <c:v>4.47</c:v>
                </c:pt>
                <c:pt idx="17" formatCode="General">
                  <c:v>2.73</c:v>
                </c:pt>
                <c:pt idx="18" formatCode="General">
                  <c:v>2</c:v>
                </c:pt>
                <c:pt idx="19" formatCode="General">
                  <c:v>1.78</c:v>
                </c:pt>
                <c:pt idx="20" formatCode="General">
                  <c:v>1.36</c:v>
                </c:pt>
                <c:pt idx="21" formatCode="General">
                  <c:v>1</c:v>
                </c:pt>
                <c:pt idx="22">
                  <c:v>0.3280224929709466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101-4489-9590-857863AD6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24608"/>
        <c:axId val="95926528"/>
      </c:scatterChart>
      <c:scatterChart>
        <c:scatterStyle val="smoothMarker"/>
        <c:varyColors val="0"/>
        <c:ser>
          <c:idx val="2"/>
          <c:order val="2"/>
          <c:tx>
            <c:strRef>
              <c:f>'Thermal Shutdown Limit Plot'!$D$2</c:f>
              <c:strCache>
                <c:ptCount val="1"/>
                <c:pt idx="0">
                  <c:v> TA = 85 C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'Thermal Shutdown Limit Plot'!$A$7:$A$28</c:f>
              <c:numCache>
                <c:formatCode>General</c:formatCode>
                <c:ptCount val="22"/>
                <c:pt idx="0">
                  <c:v>2.06</c:v>
                </c:pt>
                <c:pt idx="1">
                  <c:v>2.14</c:v>
                </c:pt>
                <c:pt idx="2">
                  <c:v>2.25</c:v>
                </c:pt>
                <c:pt idx="3">
                  <c:v>2.41</c:v>
                </c:pt>
                <c:pt idx="4">
                  <c:v>2.57</c:v>
                </c:pt>
                <c:pt idx="5">
                  <c:v>2.74</c:v>
                </c:pt>
                <c:pt idx="6">
                  <c:v>2.87</c:v>
                </c:pt>
                <c:pt idx="7">
                  <c:v>3.03</c:v>
                </c:pt>
                <c:pt idx="8">
                  <c:v>3.2</c:v>
                </c:pt>
                <c:pt idx="9">
                  <c:v>3.33</c:v>
                </c:pt>
                <c:pt idx="10">
                  <c:v>5</c:v>
                </c:pt>
                <c:pt idx="11">
                  <c:v>7.3</c:v>
                </c:pt>
                <c:pt idx="12">
                  <c:v>7.8</c:v>
                </c:pt>
                <c:pt idx="13">
                  <c:v>10</c:v>
                </c:pt>
                <c:pt idx="14">
                  <c:v>15</c:v>
                </c:pt>
                <c:pt idx="15">
                  <c:v>20</c:v>
                </c:pt>
                <c:pt idx="16">
                  <c:v>25</c:v>
                </c:pt>
                <c:pt idx="17">
                  <c:v>30</c:v>
                </c:pt>
                <c:pt idx="18">
                  <c:v>35</c:v>
                </c:pt>
                <c:pt idx="19">
                  <c:v>40</c:v>
                </c:pt>
                <c:pt idx="20">
                  <c:v>45</c:v>
                </c:pt>
                <c:pt idx="21">
                  <c:v>52</c:v>
                </c:pt>
              </c:numCache>
            </c:numRef>
          </c:xVal>
          <c:yVal>
            <c:numRef>
              <c:f>'Thermal Shutdown Limit Plot'!$D$7:$D$28</c:f>
              <c:numCache>
                <c:formatCode>General</c:formatCode>
                <c:ptCount val="22"/>
                <c:pt idx="0">
                  <c:v>12185</c:v>
                </c:pt>
                <c:pt idx="1">
                  <c:v>10225</c:v>
                </c:pt>
                <c:pt idx="2">
                  <c:v>4228</c:v>
                </c:pt>
                <c:pt idx="3">
                  <c:v>3248</c:v>
                </c:pt>
                <c:pt idx="4">
                  <c:v>2011</c:v>
                </c:pt>
                <c:pt idx="5">
                  <c:v>1226</c:v>
                </c:pt>
                <c:pt idx="6">
                  <c:v>829</c:v>
                </c:pt>
                <c:pt idx="7">
                  <c:v>516</c:v>
                </c:pt>
                <c:pt idx="8">
                  <c:v>459</c:v>
                </c:pt>
                <c:pt idx="9">
                  <c:v>428</c:v>
                </c:pt>
                <c:pt idx="10">
                  <c:v>91</c:v>
                </c:pt>
                <c:pt idx="11">
                  <c:v>22</c:v>
                </c:pt>
                <c:pt idx="12">
                  <c:v>18</c:v>
                </c:pt>
                <c:pt idx="13">
                  <c:v>9.85</c:v>
                </c:pt>
                <c:pt idx="14">
                  <c:v>3.03</c:v>
                </c:pt>
                <c:pt idx="15">
                  <c:v>1.72</c:v>
                </c:pt>
                <c:pt idx="16">
                  <c:v>1.19</c:v>
                </c:pt>
                <c:pt idx="17">
                  <c:v>0.88</c:v>
                </c:pt>
                <c:pt idx="18">
                  <c:v>0.7</c:v>
                </c:pt>
                <c:pt idx="19">
                  <c:v>0.61099999999999999</c:v>
                </c:pt>
                <c:pt idx="20">
                  <c:v>0.48499999999999999</c:v>
                </c:pt>
                <c:pt idx="21">
                  <c:v>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101-4489-9590-857863AD6722}"/>
            </c:ext>
          </c:extLst>
        </c:ser>
        <c:ser>
          <c:idx val="3"/>
          <c:order val="3"/>
          <c:tx>
            <c:strRef>
              <c:f>'Thermal Shutdown Limit Plot'!$E$2</c:f>
              <c:strCache>
                <c:ptCount val="1"/>
                <c:pt idx="0">
                  <c:v> TA = 125 C</c:v>
                </c:pt>
              </c:strCache>
            </c:strRef>
          </c:tx>
          <c:spPr>
            <a:ln>
              <a:solidFill>
                <a:srgbClr val="FF3300"/>
              </a:solidFill>
            </a:ln>
          </c:spPr>
          <c:marker>
            <c:symbol val="none"/>
          </c:marker>
          <c:xVal>
            <c:numRef>
              <c:f>'Thermal Shutdown Limit Plot'!$A$3:$A$28</c:f>
              <c:numCache>
                <c:formatCode>General</c:formatCode>
                <c:ptCount val="26"/>
                <c:pt idx="0">
                  <c:v>0.6</c:v>
                </c:pt>
                <c:pt idx="1">
                  <c:v>0.71</c:v>
                </c:pt>
                <c:pt idx="2">
                  <c:v>0.78</c:v>
                </c:pt>
                <c:pt idx="3">
                  <c:v>1.5</c:v>
                </c:pt>
                <c:pt idx="4">
                  <c:v>2.06</c:v>
                </c:pt>
                <c:pt idx="5">
                  <c:v>2.14</c:v>
                </c:pt>
                <c:pt idx="6">
                  <c:v>2.25</c:v>
                </c:pt>
                <c:pt idx="7">
                  <c:v>2.41</c:v>
                </c:pt>
                <c:pt idx="8">
                  <c:v>2.57</c:v>
                </c:pt>
                <c:pt idx="9">
                  <c:v>2.74</c:v>
                </c:pt>
                <c:pt idx="10">
                  <c:v>2.87</c:v>
                </c:pt>
                <c:pt idx="11">
                  <c:v>3.03</c:v>
                </c:pt>
                <c:pt idx="12">
                  <c:v>3.2</c:v>
                </c:pt>
                <c:pt idx="13">
                  <c:v>3.33</c:v>
                </c:pt>
                <c:pt idx="14">
                  <c:v>5</c:v>
                </c:pt>
                <c:pt idx="15">
                  <c:v>7.3</c:v>
                </c:pt>
                <c:pt idx="16">
                  <c:v>7.8</c:v>
                </c:pt>
                <c:pt idx="17">
                  <c:v>10</c:v>
                </c:pt>
                <c:pt idx="18">
                  <c:v>15</c:v>
                </c:pt>
                <c:pt idx="19">
                  <c:v>20</c:v>
                </c:pt>
                <c:pt idx="20">
                  <c:v>25</c:v>
                </c:pt>
                <c:pt idx="21">
                  <c:v>30</c:v>
                </c:pt>
                <c:pt idx="22">
                  <c:v>35</c:v>
                </c:pt>
                <c:pt idx="23">
                  <c:v>40</c:v>
                </c:pt>
                <c:pt idx="24">
                  <c:v>45</c:v>
                </c:pt>
                <c:pt idx="25">
                  <c:v>52</c:v>
                </c:pt>
              </c:numCache>
            </c:numRef>
          </c:xVal>
          <c:yVal>
            <c:numRef>
              <c:f>'Thermal Shutdown Limit Plot'!$E$3:$E$28</c:f>
              <c:numCache>
                <c:formatCode>General</c:formatCode>
                <c:ptCount val="26"/>
                <c:pt idx="0">
                  <c:v>11724</c:v>
                </c:pt>
                <c:pt idx="1">
                  <c:v>2292</c:v>
                </c:pt>
                <c:pt idx="2">
                  <c:v>1419</c:v>
                </c:pt>
                <c:pt idx="3">
                  <c:v>118</c:v>
                </c:pt>
                <c:pt idx="4">
                  <c:v>50</c:v>
                </c:pt>
                <c:pt idx="5">
                  <c:v>42</c:v>
                </c:pt>
                <c:pt idx="6">
                  <c:v>37</c:v>
                </c:pt>
                <c:pt idx="7">
                  <c:v>30</c:v>
                </c:pt>
                <c:pt idx="8">
                  <c:v>25</c:v>
                </c:pt>
                <c:pt idx="9">
                  <c:v>20</c:v>
                </c:pt>
                <c:pt idx="10">
                  <c:v>16</c:v>
                </c:pt>
                <c:pt idx="11">
                  <c:v>13</c:v>
                </c:pt>
                <c:pt idx="12">
                  <c:v>12</c:v>
                </c:pt>
                <c:pt idx="13">
                  <c:v>10</c:v>
                </c:pt>
                <c:pt idx="14">
                  <c:v>3.1</c:v>
                </c:pt>
                <c:pt idx="15">
                  <c:v>1.4</c:v>
                </c:pt>
                <c:pt idx="16">
                  <c:v>1.2</c:v>
                </c:pt>
                <c:pt idx="17">
                  <c:v>0.88</c:v>
                </c:pt>
                <c:pt idx="18">
                  <c:v>0.5</c:v>
                </c:pt>
                <c:pt idx="19">
                  <c:v>0.33</c:v>
                </c:pt>
                <c:pt idx="20">
                  <c:v>0.255</c:v>
                </c:pt>
                <c:pt idx="21">
                  <c:v>0.19700000000000001</c:v>
                </c:pt>
                <c:pt idx="22">
                  <c:v>0.17299999999999999</c:v>
                </c:pt>
                <c:pt idx="23">
                  <c:v>0.16400000000000001</c:v>
                </c:pt>
                <c:pt idx="24">
                  <c:v>0.14699999999999999</c:v>
                </c:pt>
                <c:pt idx="25">
                  <c:v>0.11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101-4489-9590-857863AD6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43936"/>
        <c:axId val="96342400"/>
      </c:scatterChart>
      <c:valAx>
        <c:axId val="95924608"/>
        <c:scaling>
          <c:logBase val="10"/>
          <c:orientation val="minMax"/>
          <c:max val="1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Power dissipation (W)</a:t>
                </a:r>
              </a:p>
            </c:rich>
          </c:tx>
          <c:overlay val="0"/>
        </c:title>
        <c:numFmt formatCode="@" sourceLinked="0"/>
        <c:majorTickMark val="out"/>
        <c:minorTickMark val="in"/>
        <c:tickLblPos val="nextTo"/>
        <c:crossAx val="95926528"/>
        <c:crossesAt val="-1"/>
        <c:crossBetween val="midCat"/>
        <c:majorUnit val="10"/>
      </c:valAx>
      <c:valAx>
        <c:axId val="95926528"/>
        <c:scaling>
          <c:logBase val="10"/>
          <c:orientation val="minMax"/>
          <c:max val="10000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Thermal Shutdown Time (ms)</a:t>
                </a:r>
              </a:p>
            </c:rich>
          </c:tx>
          <c:layout>
            <c:manualLayout>
              <c:xMode val="edge"/>
              <c:yMode val="edge"/>
              <c:x val="2.0880924618862283E-2"/>
              <c:y val="0.24564984105950929"/>
            </c:manualLayout>
          </c:layout>
          <c:overlay val="0"/>
        </c:title>
        <c:numFmt formatCode="0.0" sourceLinked="0"/>
        <c:majorTickMark val="out"/>
        <c:minorTickMark val="in"/>
        <c:tickLblPos val="nextTo"/>
        <c:crossAx val="95924608"/>
        <c:crossesAt val="-0.05"/>
        <c:crossBetween val="midCat"/>
      </c:valAx>
      <c:valAx>
        <c:axId val="96342400"/>
        <c:scaling>
          <c:logBase val="10"/>
          <c:orientation val="minMax"/>
          <c:max val="100000"/>
          <c:min val="0.1"/>
        </c:scaling>
        <c:delete val="1"/>
        <c:axPos val="r"/>
        <c:numFmt formatCode="General" sourceLinked="1"/>
        <c:majorTickMark val="out"/>
        <c:minorTickMark val="none"/>
        <c:tickLblPos val="nextTo"/>
        <c:crossAx val="96343936"/>
        <c:crosses val="max"/>
        <c:crossBetween val="midCat"/>
        <c:minorUnit val="10"/>
      </c:valAx>
      <c:valAx>
        <c:axId val="96343936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6342400"/>
        <c:crosses val="autoZero"/>
        <c:crossBetween val="midCat"/>
      </c:valAx>
    </c:plotArea>
    <c:legend>
      <c:legendPos val="tr"/>
      <c:layout>
        <c:manualLayout>
          <c:xMode val="edge"/>
          <c:yMode val="edge"/>
          <c:x val="0.8316172366108413"/>
          <c:y val="0.16419329257840076"/>
          <c:w val="0.16660916583689492"/>
          <c:h val="0.1804204743806273"/>
        </c:manualLayout>
      </c:layout>
      <c:overlay val="1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636494</xdr:colOff>
      <xdr:row>11</xdr:row>
      <xdr:rowOff>216273</xdr:rowOff>
    </xdr:from>
    <xdr:to>
      <xdr:col>11</xdr:col>
      <xdr:colOff>905435</xdr:colOff>
      <xdr:row>21</xdr:row>
      <xdr:rowOff>144556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625288</xdr:colOff>
      <xdr:row>22</xdr:row>
      <xdr:rowOff>108135</xdr:rowOff>
    </xdr:from>
    <xdr:to>
      <xdr:col>11</xdr:col>
      <xdr:colOff>894230</xdr:colOff>
      <xdr:row>30</xdr:row>
      <xdr:rowOff>291913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259352</xdr:colOff>
      <xdr:row>0</xdr:row>
      <xdr:rowOff>0</xdr:rowOff>
    </xdr:from>
    <xdr:to>
      <xdr:col>11</xdr:col>
      <xdr:colOff>668383</xdr:colOff>
      <xdr:row>12</xdr:row>
      <xdr:rowOff>79617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61102" y="0"/>
          <a:ext cx="5467078" cy="2855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1466137</xdr:colOff>
      <xdr:row>0</xdr:row>
      <xdr:rowOff>190499</xdr:rowOff>
    </xdr:from>
    <xdr:to>
      <xdr:col>17</xdr:col>
      <xdr:colOff>402499</xdr:colOff>
      <xdr:row>11</xdr:row>
      <xdr:rowOff>136071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0851" y="190499"/>
          <a:ext cx="4616256" cy="2490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5040</xdr:colOff>
      <xdr:row>7</xdr:row>
      <xdr:rowOff>54346</xdr:rowOff>
    </xdr:from>
    <xdr:to>
      <xdr:col>18</xdr:col>
      <xdr:colOff>605117</xdr:colOff>
      <xdr:row>39</xdr:row>
      <xdr:rowOff>132229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320488</xdr:colOff>
      <xdr:row>36</xdr:row>
      <xdr:rowOff>121024</xdr:rowOff>
    </xdr:from>
    <xdr:to>
      <xdr:col>18</xdr:col>
      <xdr:colOff>410135</xdr:colOff>
      <xdr:row>39</xdr:row>
      <xdr:rowOff>53789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883088" y="6051924"/>
          <a:ext cx="7722347" cy="504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Taken on 2-Layer board, 2oz.(0.08-mm thick) with GND plane area: 22 cm</a:t>
          </a:r>
          <a:r>
            <a:rPr lang="en-US" sz="1400" b="1" i="0" u="none" strike="noStrike" baseline="30000">
              <a:solidFill>
                <a:srgbClr val="FF0000"/>
              </a:solidFill>
              <a:latin typeface="+mn-lt"/>
              <a:ea typeface="+mn-ea"/>
              <a:cs typeface="+mn-cs"/>
            </a:rPr>
            <a:t>2 </a:t>
          </a:r>
          <a:r>
            <a:rPr lang="en-US" sz="14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(Top) and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25 cm</a:t>
          </a:r>
          <a:r>
            <a:rPr kumimoji="0" lang="en-US" sz="1400" b="1" i="0" u="none" strike="noStrike" kern="0" cap="none" spc="0" normalizeH="0" baseline="3000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(Bottom)</a:t>
          </a:r>
          <a:endParaRPr lang="en-US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fcafe.com/references/electrical/capacitor-value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78"/>
  <sheetViews>
    <sheetView showGridLines="0" tabSelected="1" zoomScale="70" zoomScaleNormal="70" workbookViewId="0">
      <pane xSplit="2" ySplit="12" topLeftCell="C13" activePane="bottomRight" state="frozen"/>
      <selection pane="topRight" activeCell="C1" sqref="C1"/>
      <selection pane="bottomLeft" activeCell="A16" sqref="A16"/>
      <selection pane="bottomRight" activeCell="O23" sqref="O23"/>
    </sheetView>
  </sheetViews>
  <sheetFormatPr defaultColWidth="9.109375" defaultRowHeight="18" customHeight="1" x14ac:dyDescent="0.3"/>
  <cols>
    <col min="1" max="1" width="2.44140625" style="1" customWidth="1"/>
    <col min="2" max="2" width="89.44140625" style="1" bestFit="1" customWidth="1"/>
    <col min="3" max="3" width="60.6640625" style="143" customWidth="1"/>
    <col min="4" max="4" width="15.6640625" style="3" bestFit="1" customWidth="1"/>
    <col min="5" max="5" width="8.88671875" style="1" customWidth="1"/>
    <col min="6" max="6" width="11" style="5" bestFit="1" customWidth="1"/>
    <col min="7" max="7" width="15.88671875" style="89" bestFit="1" customWidth="1"/>
    <col min="8" max="8" width="9.109375" style="1"/>
    <col min="9" max="9" width="11.5546875" style="1" bestFit="1" customWidth="1"/>
    <col min="10" max="10" width="20.6640625" style="1" customWidth="1"/>
    <col min="11" max="11" width="32.44140625" style="1" bestFit="1" customWidth="1"/>
    <col min="12" max="12" width="33.109375" style="4" bestFit="1" customWidth="1"/>
    <col min="13" max="13" width="0" style="1" hidden="1" customWidth="1"/>
    <col min="14" max="14" width="9.109375" style="1"/>
    <col min="15" max="15" width="9.33203125" style="1" bestFit="1" customWidth="1"/>
    <col min="16" max="16" width="9.88671875" style="1" bestFit="1" customWidth="1"/>
    <col min="17" max="17" width="23.6640625" style="1" bestFit="1" customWidth="1"/>
    <col min="18" max="18" width="28.88671875" style="1" bestFit="1" customWidth="1"/>
    <col min="19" max="19" width="9.109375" style="1"/>
    <col min="20" max="20" width="11.5546875" style="1" bestFit="1" customWidth="1"/>
    <col min="21" max="21" width="10.33203125" style="1" bestFit="1" customWidth="1"/>
    <col min="22" max="22" width="32.44140625" style="1" bestFit="1" customWidth="1"/>
    <col min="23" max="23" width="33.109375" style="1" bestFit="1" customWidth="1"/>
    <col min="24" max="16384" width="9.109375" style="1"/>
  </cols>
  <sheetData>
    <row r="1" spans="2:23" ht="18" customHeight="1" x14ac:dyDescent="0.3">
      <c r="B1" s="26" t="s">
        <v>175</v>
      </c>
      <c r="C1" s="125"/>
      <c r="D1" s="28"/>
      <c r="E1" s="29"/>
      <c r="F1" s="30"/>
    </row>
    <row r="2" spans="2:23" ht="18" customHeight="1" x14ac:dyDescent="0.3">
      <c r="B2" s="31" t="s">
        <v>47</v>
      </c>
      <c r="C2" s="126" t="s">
        <v>48</v>
      </c>
      <c r="D2" s="32" t="s">
        <v>49</v>
      </c>
      <c r="E2" s="29"/>
      <c r="F2" s="30"/>
      <c r="G2" s="169" t="s">
        <v>133</v>
      </c>
    </row>
    <row r="3" spans="2:23" ht="18" customHeight="1" thickBot="1" x14ac:dyDescent="0.35">
      <c r="B3" s="29"/>
      <c r="C3" s="127" t="s">
        <v>102</v>
      </c>
      <c r="D3" s="28"/>
      <c r="E3" s="29"/>
      <c r="F3" s="30"/>
      <c r="G3" s="169"/>
    </row>
    <row r="4" spans="2:23" ht="18" customHeight="1" x14ac:dyDescent="0.35">
      <c r="B4" s="55" t="s">
        <v>0</v>
      </c>
      <c r="C4" s="128" t="s">
        <v>1</v>
      </c>
      <c r="D4" s="56" t="s">
        <v>2</v>
      </c>
      <c r="E4" s="57" t="s">
        <v>3</v>
      </c>
      <c r="F4" s="58" t="s">
        <v>79</v>
      </c>
      <c r="T4" s="151" t="s">
        <v>158</v>
      </c>
      <c r="U4" s="151" t="s">
        <v>172</v>
      </c>
      <c r="V4" s="165" t="s">
        <v>173</v>
      </c>
      <c r="W4" s="165" t="s">
        <v>174</v>
      </c>
    </row>
    <row r="5" spans="2:23" ht="18" customHeight="1" x14ac:dyDescent="0.3">
      <c r="B5" s="93" t="s">
        <v>176</v>
      </c>
      <c r="C5" s="129" t="s">
        <v>177</v>
      </c>
      <c r="D5" s="162" t="s">
        <v>168</v>
      </c>
      <c r="E5" s="148"/>
      <c r="F5" s="149"/>
      <c r="G5" s="89">
        <f>IF(OR(D5= "TPS25923",D5= "TPS25925"),6.1,IF(OR(D5 = "TPS25924",D5= "TPS25926"),15,18))</f>
        <v>6.1</v>
      </c>
      <c r="T5" s="150" t="s">
        <v>168</v>
      </c>
      <c r="U5" s="150">
        <v>6.1</v>
      </c>
      <c r="V5" s="164">
        <v>37</v>
      </c>
      <c r="W5" s="163">
        <v>48</v>
      </c>
    </row>
    <row r="6" spans="2:23" ht="18" customHeight="1" x14ac:dyDescent="0.3">
      <c r="B6" s="93" t="s">
        <v>142</v>
      </c>
      <c r="C6" s="129" t="s">
        <v>9</v>
      </c>
      <c r="D6" s="51">
        <v>5</v>
      </c>
      <c r="E6" s="33" t="s">
        <v>6</v>
      </c>
      <c r="F6" s="71"/>
      <c r="T6" s="150" t="s">
        <v>169</v>
      </c>
      <c r="U6" s="150">
        <v>15</v>
      </c>
      <c r="V6" s="164">
        <v>37</v>
      </c>
      <c r="W6" s="163">
        <v>48</v>
      </c>
    </row>
    <row r="7" spans="2:23" ht="18" customHeight="1" x14ac:dyDescent="0.3">
      <c r="B7" s="93" t="s">
        <v>103</v>
      </c>
      <c r="C7" s="129" t="s">
        <v>108</v>
      </c>
      <c r="D7" s="51">
        <v>4</v>
      </c>
      <c r="E7" s="33" t="s">
        <v>6</v>
      </c>
      <c r="F7" s="71"/>
      <c r="T7" s="150" t="s">
        <v>166</v>
      </c>
      <c r="U7" s="150">
        <v>6.1</v>
      </c>
      <c r="V7" s="164">
        <v>39</v>
      </c>
      <c r="W7" s="163">
        <v>50</v>
      </c>
    </row>
    <row r="8" spans="2:23" ht="18" customHeight="1" x14ac:dyDescent="0.3">
      <c r="B8" s="93" t="s">
        <v>10</v>
      </c>
      <c r="C8" s="129" t="s">
        <v>11</v>
      </c>
      <c r="D8" s="52">
        <v>1</v>
      </c>
      <c r="E8" s="33" t="s">
        <v>12</v>
      </c>
      <c r="F8" s="72">
        <v>0.1</v>
      </c>
      <c r="T8" s="150" t="s">
        <v>165</v>
      </c>
      <c r="U8" s="150">
        <v>15</v>
      </c>
      <c r="V8" s="164">
        <v>39</v>
      </c>
      <c r="W8" s="163">
        <v>50</v>
      </c>
    </row>
    <row r="9" spans="2:23" ht="18" customHeight="1" x14ac:dyDescent="0.3">
      <c r="B9" s="93" t="s">
        <v>52</v>
      </c>
      <c r="C9" s="130" t="s">
        <v>53</v>
      </c>
      <c r="D9" s="52">
        <v>4</v>
      </c>
      <c r="E9" s="33" t="s">
        <v>54</v>
      </c>
      <c r="F9" s="144"/>
      <c r="G9" s="147">
        <f>1.1*Vcc_max/Ilimit</f>
        <v>1.4929424538545062</v>
      </c>
      <c r="T9" s="150" t="s">
        <v>170</v>
      </c>
      <c r="U9" s="150" t="s">
        <v>171</v>
      </c>
      <c r="V9" s="164">
        <v>37</v>
      </c>
      <c r="W9" s="163">
        <v>48</v>
      </c>
    </row>
    <row r="10" spans="2:23" ht="18" customHeight="1" x14ac:dyDescent="0.3">
      <c r="B10" s="93" t="s">
        <v>13</v>
      </c>
      <c r="C10" s="129" t="s">
        <v>14</v>
      </c>
      <c r="D10" s="52">
        <v>3.07</v>
      </c>
      <c r="E10" s="33" t="s">
        <v>4</v>
      </c>
      <c r="F10" s="71"/>
    </row>
    <row r="11" spans="2:23" ht="18" customHeight="1" thickBot="1" x14ac:dyDescent="0.35">
      <c r="B11" s="73" t="s">
        <v>15</v>
      </c>
      <c r="C11" s="131" t="s">
        <v>73</v>
      </c>
      <c r="D11" s="76">
        <f>1.2*Imax</f>
        <v>3.6839999999999997</v>
      </c>
      <c r="E11" s="74" t="s">
        <v>4</v>
      </c>
      <c r="F11" s="75"/>
    </row>
    <row r="12" spans="2:23" ht="18" customHeight="1" x14ac:dyDescent="0.3">
      <c r="B12" s="29"/>
      <c r="C12" s="132"/>
      <c r="D12" s="28"/>
      <c r="E12" s="29"/>
      <c r="F12" s="30"/>
    </row>
    <row r="13" spans="2:23" ht="18" customHeight="1" x14ac:dyDescent="0.3">
      <c r="B13" s="112" t="s">
        <v>136</v>
      </c>
      <c r="C13" s="94"/>
      <c r="D13" s="95"/>
      <c r="E13" s="94"/>
      <c r="F13" s="96"/>
    </row>
    <row r="14" spans="2:23" ht="15.6" x14ac:dyDescent="0.3">
      <c r="B14" s="93" t="s">
        <v>93</v>
      </c>
      <c r="C14" s="129" t="s">
        <v>137</v>
      </c>
      <c r="D14" s="52">
        <v>1000</v>
      </c>
      <c r="E14" s="33" t="s">
        <v>19</v>
      </c>
      <c r="F14" s="53">
        <v>0.01</v>
      </c>
      <c r="M14" s="1">
        <f>IF(D14&gt;=100,D14,IF(D14&gt;=10,D14*10,D14*100))</f>
        <v>1000</v>
      </c>
    </row>
    <row r="15" spans="2:23" ht="18" customHeight="1" x14ac:dyDescent="0.3">
      <c r="B15" s="97" t="s">
        <v>94</v>
      </c>
      <c r="C15" s="123" t="s">
        <v>62</v>
      </c>
      <c r="D15" s="70">
        <f>RpUVLO/(UVset/UVref -1)</f>
        <v>509.43396226415098</v>
      </c>
      <c r="E15" s="35" t="s">
        <v>19</v>
      </c>
      <c r="F15" s="36"/>
      <c r="J15" s="146">
        <f>D18</f>
        <v>3.9918786692759296</v>
      </c>
      <c r="K15" s="152" t="s">
        <v>122</v>
      </c>
      <c r="M15" s="114">
        <f t="shared" ref="M15" si="0">IF(D15&gt;=100,D15,IF(D15&gt;=10,D15*10,D15*100))</f>
        <v>509.43396226415098</v>
      </c>
    </row>
    <row r="16" spans="2:23" ht="18" customHeight="1" x14ac:dyDescent="0.3">
      <c r="B16" s="98" t="s">
        <v>138</v>
      </c>
      <c r="C16" s="133"/>
      <c r="D16" s="22"/>
      <c r="E16" s="23"/>
      <c r="F16" s="25"/>
      <c r="J16" s="146">
        <f>D19</f>
        <v>4.1397260273972609</v>
      </c>
      <c r="K16" s="152" t="s">
        <v>161</v>
      </c>
    </row>
    <row r="17" spans="2:13" ht="18" customHeight="1" x14ac:dyDescent="0.3">
      <c r="B17" s="99" t="s">
        <v>60</v>
      </c>
      <c r="C17" s="134" t="s">
        <v>61</v>
      </c>
      <c r="D17" s="49">
        <f>G17</f>
        <v>511</v>
      </c>
      <c r="E17" s="35" t="s">
        <v>19</v>
      </c>
      <c r="F17" s="50">
        <f>F14</f>
        <v>0.01</v>
      </c>
      <c r="G17" s="89">
        <f>M17*D15/M15</f>
        <v>511</v>
      </c>
      <c r="J17" s="167">
        <f>IF(D21="No Clamp",, D21)</f>
        <v>6.1</v>
      </c>
      <c r="K17" s="152" t="s">
        <v>160</v>
      </c>
      <c r="M17" s="115">
        <f>INDEX('Res EIA Tables'!E$5:E$197,2+MATCH(M15,'Res EIA Tables'!E$5:E$197))</f>
        <v>511</v>
      </c>
    </row>
    <row r="18" spans="2:13" s="62" customFormat="1" ht="18" customHeight="1" x14ac:dyDescent="0.3">
      <c r="B18" s="100" t="s">
        <v>69</v>
      </c>
      <c r="C18" s="135" t="str">
        <f>C7</f>
        <v>Power Failure Detection Threshold (VIN  Falling)</v>
      </c>
      <c r="D18" s="59">
        <f>UVref*(1+RpUVLO/D17)</f>
        <v>3.9918786692759296</v>
      </c>
      <c r="E18" s="60" t="s">
        <v>6</v>
      </c>
      <c r="F18" s="61">
        <f>SQRT(F75^2+F14^2+F17^2)</f>
        <v>3.3166247903553998E-2</v>
      </c>
      <c r="G18" s="90"/>
      <c r="L18" s="63"/>
    </row>
    <row r="19" spans="2:13" s="68" customFormat="1" ht="18" customHeight="1" x14ac:dyDescent="0.3">
      <c r="B19" s="101" t="s">
        <v>106</v>
      </c>
      <c r="C19" s="136" t="s">
        <v>107</v>
      </c>
      <c r="D19" s="21">
        <f>(UVref+0.05)*(1+RpUVLO/D17)</f>
        <v>4.1397260273972609</v>
      </c>
      <c r="E19" s="66" t="s">
        <v>6</v>
      </c>
      <c r="F19" s="67">
        <f>F18</f>
        <v>3.3166247903553998E-2</v>
      </c>
      <c r="G19" s="91"/>
      <c r="L19" s="69"/>
    </row>
    <row r="20" spans="2:13" ht="18" customHeight="1" x14ac:dyDescent="0.3">
      <c r="B20" s="102" t="s">
        <v>143</v>
      </c>
      <c r="C20" s="137" t="s">
        <v>139</v>
      </c>
      <c r="D20" s="21">
        <f>Vcc_max*1000/(RpUVLO+D17)</f>
        <v>3.3090668431502315</v>
      </c>
      <c r="E20" s="35" t="s">
        <v>7</v>
      </c>
      <c r="F20" s="36"/>
    </row>
    <row r="21" spans="2:13" ht="18" customHeight="1" x14ac:dyDescent="0.3">
      <c r="B21" s="102" t="s">
        <v>157</v>
      </c>
      <c r="C21" s="137" t="s">
        <v>159</v>
      </c>
      <c r="D21" s="166">
        <f>INDEX(U5:U9,MATCH(D5,T5:T9))</f>
        <v>6.1</v>
      </c>
      <c r="E21" s="35" t="s">
        <v>6</v>
      </c>
      <c r="F21" s="67">
        <v>0.1</v>
      </c>
    </row>
    <row r="22" spans="2:13" ht="18" customHeight="1" x14ac:dyDescent="0.3">
      <c r="B22" s="29"/>
      <c r="C22" s="132"/>
      <c r="D22" s="28"/>
      <c r="E22" s="29"/>
      <c r="F22" s="30"/>
    </row>
    <row r="23" spans="2:13" ht="28.5" customHeight="1" x14ac:dyDescent="0.3">
      <c r="B23" s="168" t="s">
        <v>39</v>
      </c>
      <c r="C23" s="168"/>
      <c r="D23" s="95"/>
      <c r="E23" s="94"/>
      <c r="F23" s="96"/>
    </row>
    <row r="24" spans="2:13" ht="18" customHeight="1" x14ac:dyDescent="0.3">
      <c r="B24" s="97" t="s">
        <v>105</v>
      </c>
      <c r="C24" s="123" t="s">
        <v>18</v>
      </c>
      <c r="D24" s="21">
        <f>(Ilimit-0.7)/(0.03)</f>
        <v>99.466666666666669</v>
      </c>
      <c r="E24" s="33" t="s">
        <v>19</v>
      </c>
      <c r="F24" s="34"/>
      <c r="J24" s="4">
        <f>Icharge</f>
        <v>1.524285714285714E-2</v>
      </c>
      <c r="K24" s="88" t="s">
        <v>123</v>
      </c>
      <c r="M24" s="114">
        <f t="shared" ref="M24" si="1">IF(D24&gt;=100,D24,IF(D24&gt;=10,D24*10,D24*100))</f>
        <v>994.66666666666674</v>
      </c>
    </row>
    <row r="25" spans="2:13" ht="18" customHeight="1" x14ac:dyDescent="0.3">
      <c r="B25" s="98" t="s">
        <v>74</v>
      </c>
      <c r="C25" s="133"/>
      <c r="D25" s="103"/>
      <c r="E25" s="33"/>
      <c r="F25" s="34"/>
      <c r="J25" s="4">
        <f>Ilimit_final</f>
        <v>3.7</v>
      </c>
      <c r="K25" s="88" t="s">
        <v>124</v>
      </c>
    </row>
    <row r="26" spans="2:13" ht="18" customHeight="1" x14ac:dyDescent="0.3">
      <c r="B26" s="99" t="s">
        <v>100</v>
      </c>
      <c r="C26" s="134" t="s">
        <v>104</v>
      </c>
      <c r="D26" s="49">
        <f>G26</f>
        <v>100</v>
      </c>
      <c r="E26" s="33" t="s">
        <v>19</v>
      </c>
      <c r="F26" s="53">
        <v>0.01</v>
      </c>
      <c r="G26" s="116">
        <f>M26*D24/M24</f>
        <v>100</v>
      </c>
      <c r="J26" s="4">
        <f>D28</f>
        <v>5.9200000000000008</v>
      </c>
      <c r="K26" s="88" t="s">
        <v>127</v>
      </c>
      <c r="M26" s="1">
        <f>INDEX('Res EIA Tables'!E$5:E$197,2+MATCH(M24,'Res EIA Tables'!E$5:E$197))</f>
        <v>1000</v>
      </c>
    </row>
    <row r="27" spans="2:13" s="62" customFormat="1" ht="18" customHeight="1" x14ac:dyDescent="0.3">
      <c r="B27" s="104" t="s">
        <v>16</v>
      </c>
      <c r="C27" s="138" t="s">
        <v>17</v>
      </c>
      <c r="D27" s="59">
        <f>(0.7+0.03*Rilim)</f>
        <v>3.7</v>
      </c>
      <c r="E27" s="64" t="s">
        <v>4</v>
      </c>
      <c r="F27" s="65">
        <f>SQRT(0.08^2+F26^2)</f>
        <v>8.06225774829855E-2</v>
      </c>
      <c r="G27" s="90"/>
      <c r="J27" s="4"/>
      <c r="K27" s="88"/>
      <c r="L27" s="63"/>
    </row>
    <row r="28" spans="2:13" ht="18" customHeight="1" x14ac:dyDescent="0.3">
      <c r="B28" s="104" t="s">
        <v>125</v>
      </c>
      <c r="C28" s="138" t="s">
        <v>126</v>
      </c>
      <c r="D28" s="59">
        <f>1.6*Ilimit_final</f>
        <v>5.9200000000000008</v>
      </c>
      <c r="E28" s="104" t="s">
        <v>4</v>
      </c>
      <c r="F28" s="37">
        <f>SQRT(F27^2+0.2^2)</f>
        <v>0.21563858652847825</v>
      </c>
    </row>
    <row r="29" spans="2:13" ht="18" customHeight="1" x14ac:dyDescent="0.3">
      <c r="B29" s="29"/>
      <c r="C29" s="132"/>
      <c r="D29" s="28"/>
      <c r="E29" s="29"/>
      <c r="F29" s="30"/>
    </row>
    <row r="30" spans="2:13" ht="9" customHeight="1" x14ac:dyDescent="0.3">
      <c r="B30" s="29"/>
      <c r="C30" s="132"/>
      <c r="D30" s="28"/>
      <c r="E30" s="29"/>
      <c r="F30" s="30"/>
    </row>
    <row r="31" spans="2:13" ht="31.2" customHeight="1" x14ac:dyDescent="0.3">
      <c r="B31" s="168" t="s">
        <v>141</v>
      </c>
      <c r="C31" s="168"/>
      <c r="D31" s="95"/>
      <c r="E31" s="94"/>
      <c r="F31" s="96"/>
    </row>
    <row r="32" spans="2:13" ht="18" customHeight="1" x14ac:dyDescent="0.3">
      <c r="B32" s="105" t="s">
        <v>0</v>
      </c>
      <c r="C32" s="139" t="s">
        <v>1</v>
      </c>
      <c r="D32" s="106" t="s">
        <v>2</v>
      </c>
      <c r="E32" s="107" t="s">
        <v>3</v>
      </c>
      <c r="F32" s="105" t="s">
        <v>79</v>
      </c>
    </row>
    <row r="33" spans="2:12" ht="18" customHeight="1" x14ac:dyDescent="0.3">
      <c r="B33" s="97" t="s">
        <v>144</v>
      </c>
      <c r="C33" s="123" t="s">
        <v>147</v>
      </c>
      <c r="D33" s="24">
        <v>0.22</v>
      </c>
      <c r="E33" s="35" t="s">
        <v>7</v>
      </c>
      <c r="F33" s="38">
        <v>0.15</v>
      </c>
    </row>
    <row r="34" spans="2:12" ht="18" customHeight="1" x14ac:dyDescent="0.3">
      <c r="B34" s="97" t="s">
        <v>145</v>
      </c>
      <c r="C34" s="123" t="s">
        <v>148</v>
      </c>
      <c r="D34" s="24">
        <v>4.8499999999999996</v>
      </c>
      <c r="E34" s="35" t="s">
        <v>91</v>
      </c>
      <c r="F34" s="38">
        <v>0.03</v>
      </c>
    </row>
    <row r="35" spans="2:12" ht="30" customHeight="1" x14ac:dyDescent="0.3">
      <c r="B35" s="97" t="s">
        <v>131</v>
      </c>
      <c r="C35" s="123" t="s">
        <v>146</v>
      </c>
      <c r="D35" s="24">
        <f>MIN(Cout*Gain_dvdt*I_dvdt/70, Ilimit_final)</f>
        <v>1.5242857142857141E-2</v>
      </c>
      <c r="E35" s="35" t="s">
        <v>4</v>
      </c>
      <c r="F35" s="38"/>
    </row>
    <row r="36" spans="2:12" ht="18" customHeight="1" x14ac:dyDescent="0.3">
      <c r="B36" s="97" t="s">
        <v>134</v>
      </c>
      <c r="C36" s="123" t="s">
        <v>149</v>
      </c>
      <c r="D36" s="24">
        <f>Vcc_max*Cout*0.001/D35</f>
        <v>0.3280224929709466</v>
      </c>
      <c r="E36" s="35" t="s">
        <v>5</v>
      </c>
      <c r="F36" s="38">
        <v>0.2</v>
      </c>
      <c r="G36" s="145"/>
    </row>
    <row r="37" spans="2:12" ht="18" customHeight="1" x14ac:dyDescent="0.3">
      <c r="B37" s="93" t="s">
        <v>67</v>
      </c>
      <c r="C37" s="129" t="s">
        <v>68</v>
      </c>
      <c r="D37" s="51">
        <v>1</v>
      </c>
      <c r="E37" s="35" t="s">
        <v>5</v>
      </c>
      <c r="F37" s="36"/>
    </row>
    <row r="38" spans="2:12" ht="18" customHeight="1" x14ac:dyDescent="0.3">
      <c r="B38" s="93" t="s">
        <v>75</v>
      </c>
      <c r="C38" s="129" t="s">
        <v>132</v>
      </c>
      <c r="D38" s="51">
        <v>0.5</v>
      </c>
      <c r="E38" s="35" t="s">
        <v>4</v>
      </c>
      <c r="F38" s="36"/>
    </row>
    <row r="39" spans="2:12" ht="15.6" x14ac:dyDescent="0.3">
      <c r="B39" s="97" t="s">
        <v>152</v>
      </c>
      <c r="C39" s="123" t="s">
        <v>150</v>
      </c>
      <c r="D39" s="39">
        <f>IF(Tchg_req&lt;D36,    0,  (I_dvdt*Gain_dvdt*Tchg_req/Vcc_max))</f>
        <v>0.21339999999999998</v>
      </c>
      <c r="E39" s="35" t="s">
        <v>8</v>
      </c>
      <c r="F39" s="36"/>
    </row>
    <row r="40" spans="2:12" ht="15.6" x14ac:dyDescent="0.3">
      <c r="B40" s="97" t="s">
        <v>153</v>
      </c>
      <c r="C40" s="123" t="s">
        <v>151</v>
      </c>
      <c r="D40" s="39">
        <f>(I_dvdt*Gain_dvdt*Cout*0.001/Icharge_req)</f>
        <v>2.134E-3</v>
      </c>
      <c r="E40" s="35" t="s">
        <v>8</v>
      </c>
      <c r="F40" s="36"/>
      <c r="G40" s="116">
        <f>MAX(Cdvdt_ext_cal1,Cext_dvdt_cal2)</f>
        <v>0.21339999999999998</v>
      </c>
    </row>
    <row r="41" spans="2:12" ht="18" customHeight="1" x14ac:dyDescent="0.3">
      <c r="B41" s="98" t="s">
        <v>154</v>
      </c>
      <c r="C41" s="133"/>
      <c r="D41" s="22"/>
      <c r="E41" s="35"/>
      <c r="F41" s="36"/>
    </row>
    <row r="42" spans="2:12" ht="18" customHeight="1" x14ac:dyDescent="0.3">
      <c r="B42" s="99" t="s">
        <v>155</v>
      </c>
      <c r="C42" s="134" t="s">
        <v>156</v>
      </c>
      <c r="D42" s="49">
        <v>0</v>
      </c>
      <c r="E42" s="35" t="s">
        <v>8</v>
      </c>
      <c r="F42" s="54">
        <v>0.1</v>
      </c>
      <c r="G42" s="121">
        <f>IF(G40&gt;1,    INDEX('Cap Tables'!B4:B75,1+MATCH(G40,'Cap Tables'!B4:B75)),     INDEX('Cap Tables'!A4:A75,1+MATCH(G40*10,'Cap Tables'!A4:A75))/10)</f>
        <v>0.22000000000000003</v>
      </c>
    </row>
    <row r="43" spans="2:12" s="62" customFormat="1" ht="18" customHeight="1" x14ac:dyDescent="0.3">
      <c r="B43" s="104" t="s">
        <v>76</v>
      </c>
      <c r="C43" s="138" t="s">
        <v>162</v>
      </c>
      <c r="D43" s="59">
        <f>Cout*0.000001*Gain_dvdt*I_dvdt*0.000001/(Cdvdt_ext*0.000000001+0.00000000007)</f>
        <v>1.524285714285714E-2</v>
      </c>
      <c r="E43" s="64" t="s">
        <v>4</v>
      </c>
      <c r="F43" s="65">
        <f>SQRT(F45^2+F8^2)</f>
        <v>0.2083266665599966</v>
      </c>
      <c r="G43" s="122"/>
      <c r="L43" s="63"/>
    </row>
    <row r="44" spans="2:12" s="62" customFormat="1" ht="18" customHeight="1" x14ac:dyDescent="0.3">
      <c r="B44" s="104" t="s">
        <v>135</v>
      </c>
      <c r="C44" s="138"/>
      <c r="D44" s="59" t="b">
        <f>((Icharge+Vcc_max/Rlstart) &gt;= Ilimit_final)</f>
        <v>0</v>
      </c>
      <c r="E44" s="64"/>
      <c r="F44" s="65"/>
      <c r="G44" s="145">
        <f>Cout*0.001*Rlstart*(Ilimit_final/Icharge -1+LN(Icharge/(Ilimit_final-Vcc_max/Rlstart)))</f>
        <v>0.94662765001685656</v>
      </c>
      <c r="H44" s="145"/>
      <c r="L44" s="63"/>
    </row>
    <row r="45" spans="2:12" s="62" customFormat="1" ht="18" customHeight="1" x14ac:dyDescent="0.3">
      <c r="B45" s="104" t="s">
        <v>163</v>
      </c>
      <c r="C45" s="138" t="s">
        <v>38</v>
      </c>
      <c r="D45" s="59">
        <f>IF(D44, G44, (((Cdvdt_ext+0.07)*Vcc_max)/(I_dvdt*Gain_dvdt)))</f>
        <v>0.3280224929709466</v>
      </c>
      <c r="E45" s="64" t="s">
        <v>5</v>
      </c>
      <c r="F45" s="65">
        <f>SQRT(F42^2+F33^2+F34^2)</f>
        <v>0.18275666882497066</v>
      </c>
      <c r="G45" s="90"/>
      <c r="L45" s="63"/>
    </row>
    <row r="46" spans="2:12" ht="28.95" customHeight="1" x14ac:dyDescent="0.3">
      <c r="B46" s="97" t="s">
        <v>164</v>
      </c>
      <c r="C46" s="123" t="s">
        <v>77</v>
      </c>
      <c r="D46" s="21">
        <f>0.5*Vcc_max*Icharge</f>
        <v>3.8107142857142846E-2</v>
      </c>
      <c r="E46" s="33" t="s">
        <v>33</v>
      </c>
      <c r="F46" s="34"/>
    </row>
    <row r="47" spans="2:12" ht="18" customHeight="1" x14ac:dyDescent="0.3">
      <c r="B47" s="29"/>
      <c r="C47" s="132"/>
      <c r="D47" s="28"/>
      <c r="E47" s="29"/>
      <c r="F47" s="30"/>
    </row>
    <row r="48" spans="2:12" ht="18" customHeight="1" x14ac:dyDescent="0.3">
      <c r="B48" s="168" t="s">
        <v>51</v>
      </c>
      <c r="C48" s="168"/>
      <c r="D48" s="168"/>
      <c r="E48" s="168"/>
      <c r="F48" s="96"/>
    </row>
    <row r="49" spans="2:7" ht="18" customHeight="1" x14ac:dyDescent="0.3">
      <c r="B49" s="97" t="s">
        <v>55</v>
      </c>
      <c r="C49" s="123" t="s">
        <v>78</v>
      </c>
      <c r="D49" s="21">
        <f>(1/6)*(Vcc_max^2)/Rlstart</f>
        <v>1.0416666666666665</v>
      </c>
      <c r="E49" s="35" t="s">
        <v>33</v>
      </c>
      <c r="F49" s="36"/>
    </row>
    <row r="50" spans="2:7" ht="18" customHeight="1" x14ac:dyDescent="0.3">
      <c r="B50" s="97" t="s">
        <v>57</v>
      </c>
      <c r="C50" s="123" t="s">
        <v>56</v>
      </c>
      <c r="D50" s="21">
        <f>D46+D49</f>
        <v>1.0797738095238094</v>
      </c>
      <c r="E50" s="35" t="s">
        <v>33</v>
      </c>
      <c r="F50" s="36"/>
    </row>
    <row r="51" spans="2:7" ht="28.8" x14ac:dyDescent="0.3">
      <c r="B51" s="97"/>
      <c r="C51" s="123" t="s">
        <v>119</v>
      </c>
      <c r="D51" s="21">
        <f>INDEX('Thermal Shutdown Limit Plot'!A3:E28,MATCH(Tchg_dvdt,'Thermal Shutdown Limit Plot'!E3:E28,-1),1)</f>
        <v>20</v>
      </c>
      <c r="E51" s="35" t="s">
        <v>33</v>
      </c>
      <c r="F51" s="36"/>
    </row>
    <row r="52" spans="2:7" ht="15.6" x14ac:dyDescent="0.3">
      <c r="B52" s="97"/>
      <c r="C52" s="140" t="s">
        <v>118</v>
      </c>
      <c r="D52" s="108" t="str">
        <f>IF(D50&lt;D51,"YES","NO")</f>
        <v>YES</v>
      </c>
      <c r="E52" s="35"/>
      <c r="F52" s="36"/>
    </row>
    <row r="53" spans="2:7" ht="18" customHeight="1" x14ac:dyDescent="0.3">
      <c r="B53" s="29"/>
      <c r="C53" s="132"/>
      <c r="D53" s="28"/>
      <c r="E53" s="29"/>
      <c r="F53" s="30"/>
    </row>
    <row r="54" spans="2:7" ht="20.25" customHeight="1" x14ac:dyDescent="0.3">
      <c r="B54" s="168" t="s">
        <v>50</v>
      </c>
      <c r="C54" s="168"/>
      <c r="D54" s="168"/>
      <c r="E54" s="168"/>
      <c r="F54" s="96"/>
    </row>
    <row r="55" spans="2:7" ht="18" customHeight="1" x14ac:dyDescent="0.3">
      <c r="B55" s="105" t="s">
        <v>0</v>
      </c>
      <c r="C55" s="139" t="s">
        <v>1</v>
      </c>
      <c r="D55" s="106" t="s">
        <v>2</v>
      </c>
      <c r="E55" s="107" t="s">
        <v>3</v>
      </c>
      <c r="F55" s="105" t="s">
        <v>79</v>
      </c>
    </row>
    <row r="56" spans="2:7" ht="18" customHeight="1" x14ac:dyDescent="0.3">
      <c r="B56" s="97" t="s">
        <v>42</v>
      </c>
      <c r="C56" s="123" t="s">
        <v>44</v>
      </c>
      <c r="D56" s="21">
        <f>Imax*Rdson_25deg</f>
        <v>113.58999999999999</v>
      </c>
      <c r="E56" s="33" t="s">
        <v>43</v>
      </c>
      <c r="F56" s="34"/>
    </row>
    <row r="57" spans="2:7" ht="18" customHeight="1" x14ac:dyDescent="0.3">
      <c r="B57" s="97" t="s">
        <v>140</v>
      </c>
      <c r="C57" s="123" t="s">
        <v>45</v>
      </c>
      <c r="D57" s="21">
        <f>Imax^2*Rdson_25deg</f>
        <v>348.72129999999999</v>
      </c>
      <c r="E57" s="33" t="s">
        <v>46</v>
      </c>
      <c r="F57" s="34"/>
    </row>
    <row r="58" spans="2:7" ht="16.2" customHeight="1" x14ac:dyDescent="0.3">
      <c r="B58" s="40"/>
      <c r="C58" s="141"/>
      <c r="D58" s="28"/>
      <c r="E58" s="41"/>
      <c r="F58" s="30"/>
      <c r="G58" s="92"/>
    </row>
    <row r="59" spans="2:7" ht="18" customHeight="1" x14ac:dyDescent="0.3">
      <c r="B59" s="29"/>
      <c r="C59" s="132"/>
      <c r="D59" s="28"/>
      <c r="E59" s="41"/>
      <c r="F59" s="30"/>
    </row>
    <row r="60" spans="2:7" ht="18" customHeight="1" x14ac:dyDescent="0.3">
      <c r="B60" s="29"/>
      <c r="C60" s="132"/>
      <c r="D60" s="28"/>
      <c r="E60" s="41"/>
      <c r="F60" s="30"/>
    </row>
    <row r="61" spans="2:7" ht="18" customHeight="1" x14ac:dyDescent="0.3">
      <c r="B61" s="42" t="s">
        <v>21</v>
      </c>
      <c r="C61" s="132"/>
      <c r="D61" s="43"/>
      <c r="E61" s="29"/>
      <c r="F61" s="30"/>
    </row>
    <row r="62" spans="2:7" ht="18" customHeight="1" x14ac:dyDescent="0.3">
      <c r="B62" s="113" t="s">
        <v>41</v>
      </c>
      <c r="C62" s="132"/>
      <c r="D62" s="43"/>
      <c r="E62" s="29"/>
      <c r="F62" s="30"/>
    </row>
    <row r="63" spans="2:7" ht="18" customHeight="1" x14ac:dyDescent="0.3">
      <c r="B63" s="109" t="s">
        <v>0</v>
      </c>
      <c r="C63" s="142" t="s">
        <v>1</v>
      </c>
      <c r="D63" s="110" t="s">
        <v>2</v>
      </c>
      <c r="E63" s="111" t="s">
        <v>3</v>
      </c>
      <c r="F63" s="109" t="s">
        <v>79</v>
      </c>
    </row>
    <row r="64" spans="2:7" ht="18" customHeight="1" x14ac:dyDescent="0.3">
      <c r="B64" s="102" t="s">
        <v>22</v>
      </c>
      <c r="C64" s="137" t="s">
        <v>23</v>
      </c>
      <c r="D64" s="44">
        <v>20</v>
      </c>
      <c r="E64" s="33" t="s">
        <v>6</v>
      </c>
      <c r="F64" s="34"/>
    </row>
    <row r="65" spans="2:6" ht="18" customHeight="1" x14ac:dyDescent="0.3">
      <c r="B65" s="102" t="s">
        <v>24</v>
      </c>
      <c r="C65" s="137" t="s">
        <v>25</v>
      </c>
      <c r="D65" s="44">
        <v>5.5</v>
      </c>
      <c r="E65" s="33" t="s">
        <v>4</v>
      </c>
      <c r="F65" s="34"/>
    </row>
    <row r="66" spans="2:6" ht="18" customHeight="1" x14ac:dyDescent="0.3">
      <c r="B66" s="102" t="s">
        <v>29</v>
      </c>
      <c r="C66" s="137" t="s">
        <v>30</v>
      </c>
      <c r="D66" s="124">
        <f>INDEX(V5:V9,MATCH(D5,T5:T9))</f>
        <v>37</v>
      </c>
      <c r="E66" s="33" t="s">
        <v>28</v>
      </c>
      <c r="F66" s="34"/>
    </row>
    <row r="67" spans="2:6" ht="18" customHeight="1" x14ac:dyDescent="0.3">
      <c r="B67" s="102" t="s">
        <v>27</v>
      </c>
      <c r="C67" s="137" t="s">
        <v>26</v>
      </c>
      <c r="D67" s="124">
        <f>INDEX(W5:W9,MATCH(D5,T5:T9))</f>
        <v>48</v>
      </c>
      <c r="E67" s="33" t="s">
        <v>28</v>
      </c>
      <c r="F67" s="34"/>
    </row>
    <row r="68" spans="2:6" ht="18" customHeight="1" x14ac:dyDescent="0.3">
      <c r="B68" s="113" t="s">
        <v>40</v>
      </c>
      <c r="C68" s="132"/>
      <c r="D68" s="43"/>
      <c r="E68" s="27"/>
      <c r="F68" s="45"/>
    </row>
    <row r="69" spans="2:6" ht="18" customHeight="1" x14ac:dyDescent="0.3">
      <c r="B69" s="102" t="s">
        <v>31</v>
      </c>
      <c r="C69" s="137" t="s">
        <v>34</v>
      </c>
      <c r="D69" s="44">
        <v>150</v>
      </c>
      <c r="E69" s="46" t="s">
        <v>95</v>
      </c>
      <c r="F69" s="47"/>
    </row>
    <row r="70" spans="2:6" ht="18" customHeight="1" x14ac:dyDescent="0.3">
      <c r="B70" s="102" t="s">
        <v>20</v>
      </c>
      <c r="C70" s="137" t="s">
        <v>32</v>
      </c>
      <c r="D70" s="44">
        <v>125</v>
      </c>
      <c r="E70" s="46" t="s">
        <v>95</v>
      </c>
      <c r="F70" s="47"/>
    </row>
    <row r="71" spans="2:6" ht="18" customHeight="1" x14ac:dyDescent="0.3">
      <c r="B71" s="102" t="s">
        <v>96</v>
      </c>
      <c r="C71" s="137" t="s">
        <v>35</v>
      </c>
      <c r="D71" s="44">
        <v>53</v>
      </c>
      <c r="E71" s="46" t="s">
        <v>97</v>
      </c>
      <c r="F71" s="47"/>
    </row>
    <row r="72" spans="2:6" ht="18" customHeight="1" x14ac:dyDescent="0.3">
      <c r="B72" s="102" t="s">
        <v>98</v>
      </c>
      <c r="C72" s="137" t="s">
        <v>36</v>
      </c>
      <c r="D72" s="44">
        <v>45.9</v>
      </c>
      <c r="E72" s="46" t="s">
        <v>97</v>
      </c>
      <c r="F72" s="47"/>
    </row>
    <row r="73" spans="2:6" ht="18" customHeight="1" x14ac:dyDescent="0.3">
      <c r="B73" s="102" t="s">
        <v>99</v>
      </c>
      <c r="C73" s="137" t="s">
        <v>37</v>
      </c>
      <c r="D73" s="44">
        <v>5.9</v>
      </c>
      <c r="E73" s="46" t="s">
        <v>97</v>
      </c>
      <c r="F73" s="47"/>
    </row>
    <row r="74" spans="2:6" ht="18" customHeight="1" x14ac:dyDescent="0.3">
      <c r="B74" s="113" t="s">
        <v>59</v>
      </c>
      <c r="C74" s="132"/>
      <c r="D74" s="43"/>
      <c r="E74" s="27"/>
      <c r="F74" s="45"/>
    </row>
    <row r="75" spans="2:6" ht="18" customHeight="1" x14ac:dyDescent="0.3">
      <c r="B75" s="102" t="s">
        <v>101</v>
      </c>
      <c r="C75" s="137" t="s">
        <v>58</v>
      </c>
      <c r="D75" s="48">
        <v>1.35</v>
      </c>
      <c r="E75" s="33" t="s">
        <v>6</v>
      </c>
      <c r="F75" s="34">
        <v>0.03</v>
      </c>
    </row>
    <row r="76" spans="2:6" ht="18" customHeight="1" x14ac:dyDescent="0.3">
      <c r="B76" s="102" t="s">
        <v>63</v>
      </c>
      <c r="C76" s="137" t="s">
        <v>64</v>
      </c>
      <c r="D76" s="48">
        <v>0.4</v>
      </c>
      <c r="E76" s="33" t="s">
        <v>5</v>
      </c>
      <c r="F76" s="34"/>
    </row>
    <row r="77" spans="2:6" ht="18" customHeight="1" x14ac:dyDescent="0.3">
      <c r="B77" s="102" t="s">
        <v>72</v>
      </c>
      <c r="C77" s="137" t="s">
        <v>65</v>
      </c>
      <c r="D77" s="48">
        <v>0.89</v>
      </c>
      <c r="E77" s="33" t="s">
        <v>6</v>
      </c>
      <c r="F77" s="34"/>
    </row>
    <row r="78" spans="2:6" ht="18" customHeight="1" x14ac:dyDescent="0.3">
      <c r="B78" s="102" t="s">
        <v>70</v>
      </c>
      <c r="C78" s="137" t="s">
        <v>71</v>
      </c>
      <c r="D78" s="120"/>
      <c r="E78" s="33" t="s">
        <v>4</v>
      </c>
      <c r="F78" s="34"/>
    </row>
  </sheetData>
  <protectedRanges>
    <protectedRange sqref="F8 F14 D17 D14 D26 F26 D37:D38 D42 F42 F17 D5:D11" name="Range1"/>
  </protectedRanges>
  <mergeCells count="5">
    <mergeCell ref="B23:C23"/>
    <mergeCell ref="B54:E54"/>
    <mergeCell ref="B48:E48"/>
    <mergeCell ref="B31:C31"/>
    <mergeCell ref="G2:G3"/>
  </mergeCells>
  <conditionalFormatting sqref="D52">
    <cfRule type="cellIs" dxfId="1" priority="1" operator="equal">
      <formula>"YES"</formula>
    </cfRule>
    <cfRule type="cellIs" dxfId="0" priority="2" operator="equal">
      <formula>"NO"</formula>
    </cfRule>
  </conditionalFormatting>
  <dataValidations xWindow="681" yWindow="316" count="8">
    <dataValidation type="decimal" operator="lessThan" allowBlank="1" showInputMessage="1" showErrorMessage="1" errorTitle="Error (Reenter the Value)" error="Only values less than Ilimit_final will be accepted" promptTitle="Restriction" prompt="Please enter a value less than Ilimit_final" sqref="D38" xr:uid="{00000000-0002-0000-0000-000000000000}">
      <formula1>D27</formula1>
    </dataValidation>
    <dataValidation errorTitle="Error (Reenter the Value)" error="Only values greater than UVref will be accepted" promptTitle="Restriction" prompt="Please enter a value greater than UVref" sqref="D7" xr:uid="{00000000-0002-0000-0000-000001000000}"/>
    <dataValidation type="decimal" operator="greaterThan" allowBlank="1" showInputMessage="1" showErrorMessage="1" errorTitle="ERROR!!" error="Start-up Load Resistor is &lt; 1.1*VCC(max)/Ilimit, this will prevent start-up." prompt="Start-up Load must be &gt; 1.1*VCC(max)/Ilimit" sqref="D9" xr:uid="{00000000-0002-0000-0000-000002000000}">
      <formula1>G9</formula1>
    </dataValidation>
    <dataValidation type="decimal" operator="greaterThan" allowBlank="1" showInputMessage="1" showErrorMessage="1" errorTitle="Error (Reenter the Value)" error="Only values &gt;= Tchg_fastest will be accepted" promptTitle="Restriction" prompt="Enter a value &gt;= Tchg_fastest" sqref="D37" xr:uid="{00000000-0002-0000-0000-000003000000}">
      <formula1>D36</formula1>
    </dataValidation>
    <dataValidation type="decimal" allowBlank="1" showInputMessage="1" showErrorMessage="1" error="2 &lt;= Ilimit &lt;= 5" prompt="2 &lt;= Ilimit &lt;= 5" sqref="D11" xr:uid="{00000000-0002-0000-0000-000004000000}">
      <formula1>2</formula1>
      <formula2>5</formula2>
    </dataValidation>
    <dataValidation type="decimal" operator="lessThan" allowBlank="1" showInputMessage="1" showErrorMessage="1" error="Imax &lt;= 5" prompt="Imax &lt;= 5" sqref="D10" xr:uid="{00000000-0002-0000-0000-000005000000}">
      <formula1>5</formula1>
    </dataValidation>
    <dataValidation type="decimal" allowBlank="1" showInputMessage="1" showErrorMessage="1" error="VIN(max) must be &lt; VOVC and Vin(min) &gt;= 4.5V" prompt="VIN(max) must be &lt; VOVC &amp; Vin(min) &gt;= 4.5V" sqref="D6" xr:uid="{00000000-0002-0000-0000-000006000000}">
      <formula1>4.5</formula1>
      <formula2>G5</formula2>
    </dataValidation>
    <dataValidation type="list" allowBlank="1" showInputMessage="1" showErrorMessage="1" error="Choose from the drop-down list" sqref="D5" xr:uid="{00000000-0002-0000-0000-000007000000}">
      <formula1>$T$5:$T$9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99"/>
  <sheetViews>
    <sheetView showGridLines="0" zoomScale="75" zoomScaleNormal="75" workbookViewId="0">
      <selection activeCell="J1" sqref="J1"/>
    </sheetView>
  </sheetViews>
  <sheetFormatPr defaultColWidth="9.109375" defaultRowHeight="14.4" x14ac:dyDescent="0.3"/>
  <cols>
    <col min="1" max="1" width="19.33203125" style="7" customWidth="1"/>
    <col min="2" max="2" width="12.5546875" style="7" customWidth="1"/>
    <col min="3" max="3" width="16.5546875" style="7" customWidth="1"/>
    <col min="4" max="4" width="15.5546875" style="7" customWidth="1"/>
    <col min="5" max="5" width="12.44140625" style="79" customWidth="1"/>
    <col min="6" max="6" width="9.109375" style="79" customWidth="1"/>
    <col min="7" max="7" width="9.109375" style="79"/>
    <col min="8" max="8" width="13.88671875" style="79" customWidth="1"/>
    <col min="9" max="16384" width="9.109375" style="79"/>
  </cols>
  <sheetData>
    <row r="1" spans="1:14" ht="15" thickBot="1" x14ac:dyDescent="0.35">
      <c r="A1" s="77" t="s">
        <v>109</v>
      </c>
      <c r="B1" s="78"/>
      <c r="C1" s="78"/>
      <c r="D1" s="78"/>
      <c r="H1" s="80" t="s">
        <v>110</v>
      </c>
      <c r="J1" s="77" t="s">
        <v>109</v>
      </c>
      <c r="K1" s="81"/>
      <c r="L1" s="81"/>
      <c r="M1" s="81"/>
      <c r="N1" s="81"/>
    </row>
    <row r="2" spans="1:14" ht="16.5" customHeight="1" thickBot="1" x14ac:dyDescent="0.4">
      <c r="A2" s="154" t="s">
        <v>111</v>
      </c>
      <c r="B2" s="155" t="s">
        <v>112</v>
      </c>
      <c r="C2" s="155" t="s">
        <v>113</v>
      </c>
      <c r="D2" s="155" t="s">
        <v>167</v>
      </c>
      <c r="E2" s="155" t="s">
        <v>114</v>
      </c>
      <c r="J2" s="82"/>
    </row>
    <row r="3" spans="1:14" ht="16.5" customHeight="1" x14ac:dyDescent="0.3">
      <c r="A3" s="156">
        <v>0.6</v>
      </c>
      <c r="B3" s="157"/>
      <c r="C3" s="157"/>
      <c r="D3" s="157"/>
      <c r="E3" s="158">
        <v>11724</v>
      </c>
      <c r="F3" s="161" t="s">
        <v>4</v>
      </c>
      <c r="J3" s="82"/>
    </row>
    <row r="4" spans="1:14" x14ac:dyDescent="0.3">
      <c r="A4" s="156">
        <v>0.71</v>
      </c>
      <c r="B4" s="157"/>
      <c r="C4" s="157"/>
      <c r="D4" s="157"/>
      <c r="E4" s="158">
        <v>2292</v>
      </c>
      <c r="F4" s="161" t="s">
        <v>4</v>
      </c>
      <c r="J4" s="82"/>
    </row>
    <row r="5" spans="1:14" x14ac:dyDescent="0.3">
      <c r="A5" s="156">
        <v>0.78</v>
      </c>
      <c r="B5" s="157"/>
      <c r="C5" s="157"/>
      <c r="D5" s="157"/>
      <c r="E5" s="158">
        <v>1419</v>
      </c>
      <c r="F5" s="161" t="s">
        <v>4</v>
      </c>
      <c r="J5" s="82"/>
    </row>
    <row r="6" spans="1:14" x14ac:dyDescent="0.3">
      <c r="A6" s="156">
        <v>1.5</v>
      </c>
      <c r="B6" s="157"/>
      <c r="C6" s="157"/>
      <c r="D6" s="157"/>
      <c r="E6" s="156">
        <v>118</v>
      </c>
      <c r="F6" s="161" t="s">
        <v>4</v>
      </c>
      <c r="J6" s="82"/>
    </row>
    <row r="7" spans="1:14" x14ac:dyDescent="0.3">
      <c r="A7" s="158">
        <v>2.06</v>
      </c>
      <c r="B7" s="159"/>
      <c r="C7" s="159"/>
      <c r="D7" s="158">
        <v>12185</v>
      </c>
      <c r="E7" s="158">
        <v>50</v>
      </c>
      <c r="F7" s="119" t="s">
        <v>130</v>
      </c>
      <c r="H7" s="84" t="s">
        <v>115</v>
      </c>
      <c r="I7" s="79" t="s">
        <v>116</v>
      </c>
      <c r="J7" s="85" t="s">
        <v>117</v>
      </c>
    </row>
    <row r="8" spans="1:14" x14ac:dyDescent="0.3">
      <c r="A8" s="158">
        <v>2.14</v>
      </c>
      <c r="B8" s="159"/>
      <c r="C8" s="159"/>
      <c r="D8" s="158">
        <v>10225</v>
      </c>
      <c r="E8" s="158">
        <v>42</v>
      </c>
      <c r="F8" s="119" t="s">
        <v>130</v>
      </c>
      <c r="J8" s="85"/>
    </row>
    <row r="9" spans="1:14" x14ac:dyDescent="0.3">
      <c r="A9" s="158">
        <v>2.25</v>
      </c>
      <c r="B9" s="159"/>
      <c r="C9" s="159"/>
      <c r="D9" s="158">
        <v>4228</v>
      </c>
      <c r="E9" s="158">
        <v>37</v>
      </c>
      <c r="F9" s="161" t="s">
        <v>4</v>
      </c>
      <c r="J9" s="85"/>
    </row>
    <row r="10" spans="1:14" x14ac:dyDescent="0.3">
      <c r="A10" s="158">
        <v>2.41</v>
      </c>
      <c r="B10" s="159"/>
      <c r="C10" s="159"/>
      <c r="D10" s="158">
        <v>3248</v>
      </c>
      <c r="E10" s="158">
        <v>30</v>
      </c>
      <c r="F10" s="119" t="s">
        <v>130</v>
      </c>
      <c r="J10" s="82"/>
    </row>
    <row r="11" spans="1:14" x14ac:dyDescent="0.3">
      <c r="A11" s="158">
        <v>2.57</v>
      </c>
      <c r="B11" s="159"/>
      <c r="C11" s="159"/>
      <c r="D11" s="158">
        <v>2011</v>
      </c>
      <c r="E11" s="158">
        <v>25</v>
      </c>
      <c r="F11" s="119" t="s">
        <v>130</v>
      </c>
      <c r="J11" s="82"/>
    </row>
    <row r="12" spans="1:14" x14ac:dyDescent="0.3">
      <c r="A12" s="158">
        <v>2.74</v>
      </c>
      <c r="B12" s="159"/>
      <c r="C12" s="159"/>
      <c r="D12" s="158">
        <v>1226</v>
      </c>
      <c r="E12" s="158">
        <v>20</v>
      </c>
      <c r="F12" s="119" t="s">
        <v>130</v>
      </c>
      <c r="H12" s="86"/>
      <c r="J12" s="87"/>
    </row>
    <row r="13" spans="1:14" x14ac:dyDescent="0.3">
      <c r="A13" s="158">
        <v>2.87</v>
      </c>
      <c r="B13" s="159"/>
      <c r="C13" s="159"/>
      <c r="D13" s="158">
        <v>829</v>
      </c>
      <c r="E13" s="158">
        <v>16</v>
      </c>
      <c r="F13" s="119" t="s">
        <v>130</v>
      </c>
      <c r="J13" s="87"/>
    </row>
    <row r="14" spans="1:14" x14ac:dyDescent="0.3">
      <c r="A14" s="158">
        <v>3.03</v>
      </c>
      <c r="B14" s="159"/>
      <c r="C14" s="159"/>
      <c r="D14" s="158">
        <v>516</v>
      </c>
      <c r="E14" s="158">
        <v>13</v>
      </c>
      <c r="F14" s="119" t="s">
        <v>130</v>
      </c>
    </row>
    <row r="15" spans="1:14" x14ac:dyDescent="0.3">
      <c r="A15" s="158">
        <v>3.2</v>
      </c>
      <c r="B15" s="159"/>
      <c r="C15" s="158">
        <v>13698</v>
      </c>
      <c r="D15" s="158">
        <v>459</v>
      </c>
      <c r="E15" s="158">
        <v>12</v>
      </c>
      <c r="F15" s="119" t="s">
        <v>130</v>
      </c>
    </row>
    <row r="16" spans="1:14" x14ac:dyDescent="0.3">
      <c r="A16" s="158">
        <v>3.33</v>
      </c>
      <c r="B16" s="159"/>
      <c r="C16" s="158">
        <v>9564</v>
      </c>
      <c r="D16" s="158">
        <v>428</v>
      </c>
      <c r="E16" s="158">
        <v>10</v>
      </c>
      <c r="F16" s="161" t="s">
        <v>4</v>
      </c>
    </row>
    <row r="17" spans="1:6" x14ac:dyDescent="0.3">
      <c r="A17" s="158">
        <v>5</v>
      </c>
      <c r="B17" s="159"/>
      <c r="C17" s="158">
        <v>1096</v>
      </c>
      <c r="D17" s="158">
        <v>91</v>
      </c>
      <c r="E17" s="158">
        <v>3.1</v>
      </c>
      <c r="F17" s="161" t="s">
        <v>4</v>
      </c>
    </row>
    <row r="18" spans="1:6" x14ac:dyDescent="0.3">
      <c r="A18" s="158">
        <v>7.3</v>
      </c>
      <c r="B18" s="159"/>
      <c r="C18" s="158">
        <v>208</v>
      </c>
      <c r="D18" s="158">
        <v>22</v>
      </c>
      <c r="E18" s="158">
        <v>1.4</v>
      </c>
      <c r="F18" s="161" t="s">
        <v>4</v>
      </c>
    </row>
    <row r="19" spans="1:6" x14ac:dyDescent="0.3">
      <c r="A19" s="158">
        <v>7.8</v>
      </c>
      <c r="B19" s="160">
        <v>9357</v>
      </c>
      <c r="C19" s="158">
        <v>160</v>
      </c>
      <c r="D19" s="158">
        <v>18</v>
      </c>
      <c r="E19" s="158">
        <v>1.2</v>
      </c>
      <c r="F19" s="119" t="s">
        <v>130</v>
      </c>
    </row>
    <row r="20" spans="1:6" x14ac:dyDescent="0.3">
      <c r="A20" s="158">
        <v>10</v>
      </c>
      <c r="B20" s="158">
        <v>867</v>
      </c>
      <c r="C20" s="158">
        <v>76.5</v>
      </c>
      <c r="D20" s="158">
        <v>9.85</v>
      </c>
      <c r="E20" s="158">
        <v>0.88</v>
      </c>
      <c r="F20" s="161" t="s">
        <v>4</v>
      </c>
    </row>
    <row r="21" spans="1:6" x14ac:dyDescent="0.3">
      <c r="A21" s="158">
        <v>15</v>
      </c>
      <c r="B21" s="158">
        <v>101</v>
      </c>
      <c r="C21" s="158">
        <v>19.440000000000001</v>
      </c>
      <c r="D21" s="158">
        <v>3.03</v>
      </c>
      <c r="E21" s="158">
        <v>0.5</v>
      </c>
      <c r="F21" s="161" t="s">
        <v>4</v>
      </c>
    </row>
    <row r="22" spans="1:6" x14ac:dyDescent="0.3">
      <c r="A22" s="158">
        <v>20</v>
      </c>
      <c r="B22" s="158">
        <v>32.700000000000003</v>
      </c>
      <c r="C22" s="158">
        <v>9.33</v>
      </c>
      <c r="D22" s="158">
        <v>1.72</v>
      </c>
      <c r="E22" s="158">
        <v>0.33</v>
      </c>
      <c r="F22" s="161" t="s">
        <v>4</v>
      </c>
    </row>
    <row r="23" spans="1:6" x14ac:dyDescent="0.3">
      <c r="A23" s="158">
        <v>25</v>
      </c>
      <c r="B23" s="158">
        <v>17.18</v>
      </c>
      <c r="C23" s="158">
        <v>4.47</v>
      </c>
      <c r="D23" s="158">
        <v>1.19</v>
      </c>
      <c r="E23" s="158">
        <v>0.255</v>
      </c>
      <c r="F23" s="161" t="s">
        <v>4</v>
      </c>
    </row>
    <row r="24" spans="1:6" x14ac:dyDescent="0.3">
      <c r="A24" s="158">
        <v>30</v>
      </c>
      <c r="B24" s="158">
        <v>10.86</v>
      </c>
      <c r="C24" s="158">
        <v>2.73</v>
      </c>
      <c r="D24" s="158">
        <v>0.88</v>
      </c>
      <c r="E24" s="158">
        <v>0.19700000000000001</v>
      </c>
      <c r="F24" s="161" t="s">
        <v>4</v>
      </c>
    </row>
    <row r="25" spans="1:6" x14ac:dyDescent="0.3">
      <c r="A25" s="158">
        <v>35</v>
      </c>
      <c r="B25" s="158">
        <v>5.96</v>
      </c>
      <c r="C25" s="158">
        <v>2</v>
      </c>
      <c r="D25" s="158">
        <v>0.7</v>
      </c>
      <c r="E25" s="158">
        <v>0.17299999999999999</v>
      </c>
      <c r="F25" s="161" t="s">
        <v>4</v>
      </c>
    </row>
    <row r="26" spans="1:6" x14ac:dyDescent="0.3">
      <c r="A26" s="158">
        <v>40</v>
      </c>
      <c r="B26" s="158">
        <v>4.6315</v>
      </c>
      <c r="C26" s="158">
        <v>1.78</v>
      </c>
      <c r="D26" s="158">
        <v>0.61099999999999999</v>
      </c>
      <c r="E26" s="158">
        <v>0.16400000000000001</v>
      </c>
      <c r="F26" s="161" t="s">
        <v>4</v>
      </c>
    </row>
    <row r="27" spans="1:6" x14ac:dyDescent="0.3">
      <c r="A27" s="158">
        <v>45</v>
      </c>
      <c r="B27" s="158">
        <v>3.18</v>
      </c>
      <c r="C27" s="158">
        <v>1.36</v>
      </c>
      <c r="D27" s="158">
        <v>0.48499999999999999</v>
      </c>
      <c r="E27" s="158">
        <v>0.14699999999999999</v>
      </c>
      <c r="F27" s="161" t="s">
        <v>4</v>
      </c>
    </row>
    <row r="28" spans="1:6" x14ac:dyDescent="0.3">
      <c r="A28" s="158">
        <v>52</v>
      </c>
      <c r="B28" s="158">
        <v>2.2599999999999998</v>
      </c>
      <c r="C28" s="158">
        <v>1</v>
      </c>
      <c r="D28" s="158">
        <v>0.4</v>
      </c>
      <c r="E28" s="158">
        <v>0.11</v>
      </c>
      <c r="F28" s="161" t="s">
        <v>4</v>
      </c>
    </row>
    <row r="29" spans="1:6" x14ac:dyDescent="0.3">
      <c r="B29" s="83"/>
      <c r="C29" s="83"/>
      <c r="D29" s="83"/>
    </row>
    <row r="30" spans="1:6" x14ac:dyDescent="0.3">
      <c r="B30" s="83"/>
      <c r="C30" s="83"/>
      <c r="D30" s="117" t="s">
        <v>128</v>
      </c>
    </row>
    <row r="31" spans="1:6" x14ac:dyDescent="0.3">
      <c r="B31" s="83"/>
      <c r="C31" s="83"/>
      <c r="D31" s="118" t="s">
        <v>129</v>
      </c>
    </row>
    <row r="32" spans="1:6" x14ac:dyDescent="0.3">
      <c r="B32" s="83"/>
      <c r="C32" s="83"/>
      <c r="D32" s="83"/>
    </row>
    <row r="33" spans="1:4" x14ac:dyDescent="0.3">
      <c r="B33" s="83" t="s">
        <v>121</v>
      </c>
      <c r="C33" s="83" t="s">
        <v>120</v>
      </c>
      <c r="D33" s="83"/>
    </row>
    <row r="34" spans="1:4" x14ac:dyDescent="0.3">
      <c r="B34" s="83">
        <f>'Calculation Sheet'!D50</f>
        <v>1.0797738095238094</v>
      </c>
      <c r="C34" s="83">
        <f>Tchg_dvdt</f>
        <v>0.3280224929709466</v>
      </c>
      <c r="D34" s="83"/>
    </row>
    <row r="35" spans="1:4" x14ac:dyDescent="0.3">
      <c r="B35" s="83"/>
      <c r="C35" s="83"/>
      <c r="D35" s="83"/>
    </row>
    <row r="36" spans="1:4" x14ac:dyDescent="0.3">
      <c r="A36" s="79"/>
      <c r="B36" s="83"/>
      <c r="C36" s="83"/>
      <c r="D36" s="83"/>
    </row>
    <row r="37" spans="1:4" x14ac:dyDescent="0.3">
      <c r="A37" s="79"/>
      <c r="B37" s="83"/>
      <c r="C37" s="83"/>
      <c r="D37" s="83"/>
    </row>
    <row r="38" spans="1:4" x14ac:dyDescent="0.3">
      <c r="A38" s="79"/>
      <c r="B38" s="83"/>
      <c r="C38" s="83"/>
      <c r="D38" s="83"/>
    </row>
    <row r="39" spans="1:4" x14ac:dyDescent="0.3">
      <c r="A39" s="79"/>
      <c r="B39" s="83"/>
      <c r="C39" s="83"/>
      <c r="D39" s="83"/>
    </row>
    <row r="40" spans="1:4" x14ac:dyDescent="0.3">
      <c r="A40" s="79"/>
      <c r="B40" s="83"/>
      <c r="C40" s="83"/>
      <c r="D40" s="83"/>
    </row>
    <row r="41" spans="1:4" x14ac:dyDescent="0.3">
      <c r="A41" s="79"/>
      <c r="B41" s="83"/>
      <c r="C41" s="83"/>
      <c r="D41" s="83"/>
    </row>
    <row r="42" spans="1:4" x14ac:dyDescent="0.3">
      <c r="A42" s="79"/>
      <c r="B42" s="83"/>
      <c r="C42" s="83"/>
      <c r="D42" s="83"/>
    </row>
    <row r="43" spans="1:4" x14ac:dyDescent="0.3">
      <c r="A43" s="79"/>
      <c r="B43" s="83"/>
      <c r="C43" s="83"/>
      <c r="D43" s="83"/>
    </row>
    <row r="44" spans="1:4" x14ac:dyDescent="0.3">
      <c r="A44" s="79"/>
      <c r="B44" s="83"/>
      <c r="C44" s="83"/>
      <c r="D44" s="83"/>
    </row>
    <row r="45" spans="1:4" x14ac:dyDescent="0.3">
      <c r="A45" s="79"/>
      <c r="B45" s="83"/>
      <c r="C45" s="83"/>
      <c r="D45" s="83"/>
    </row>
    <row r="46" spans="1:4" x14ac:dyDescent="0.3">
      <c r="A46" s="79"/>
      <c r="B46" s="83"/>
      <c r="C46" s="83"/>
      <c r="D46" s="83"/>
    </row>
    <row r="47" spans="1:4" x14ac:dyDescent="0.3">
      <c r="A47" s="79"/>
      <c r="B47" s="83"/>
      <c r="C47" s="83"/>
      <c r="D47" s="83"/>
    </row>
    <row r="48" spans="1:4" x14ac:dyDescent="0.3">
      <c r="A48" s="79"/>
      <c r="B48" s="83"/>
      <c r="C48" s="83"/>
      <c r="D48" s="83"/>
    </row>
    <row r="49" spans="1:4" x14ac:dyDescent="0.3">
      <c r="A49" s="79"/>
      <c r="B49" s="83"/>
      <c r="C49" s="83"/>
      <c r="D49" s="83"/>
    </row>
    <row r="50" spans="1:4" x14ac:dyDescent="0.3">
      <c r="A50" s="79"/>
      <c r="B50" s="83"/>
      <c r="C50" s="83"/>
      <c r="D50" s="83"/>
    </row>
    <row r="51" spans="1:4" x14ac:dyDescent="0.3">
      <c r="A51" s="79"/>
      <c r="B51" s="83"/>
      <c r="C51" s="83"/>
      <c r="D51" s="83"/>
    </row>
    <row r="52" spans="1:4" x14ac:dyDescent="0.3">
      <c r="A52" s="79"/>
      <c r="B52" s="83"/>
      <c r="C52" s="83"/>
      <c r="D52" s="83"/>
    </row>
    <row r="53" spans="1:4" x14ac:dyDescent="0.3">
      <c r="A53" s="79"/>
      <c r="B53" s="83"/>
      <c r="C53" s="83"/>
      <c r="D53" s="83"/>
    </row>
    <row r="54" spans="1:4" x14ac:dyDescent="0.3">
      <c r="A54" s="79"/>
      <c r="B54" s="83"/>
      <c r="C54" s="83"/>
      <c r="D54" s="83"/>
    </row>
    <row r="55" spans="1:4" x14ac:dyDescent="0.3">
      <c r="A55" s="153"/>
      <c r="B55" s="83"/>
      <c r="C55" s="83"/>
      <c r="D55" s="83"/>
    </row>
    <row r="56" spans="1:4" x14ac:dyDescent="0.3">
      <c r="A56" s="153"/>
      <c r="B56" s="83"/>
      <c r="C56" s="83"/>
      <c r="D56" s="83"/>
    </row>
    <row r="57" spans="1:4" x14ac:dyDescent="0.3">
      <c r="A57" s="153"/>
      <c r="B57" s="83"/>
      <c r="C57" s="83"/>
      <c r="D57" s="83"/>
    </row>
    <row r="58" spans="1:4" x14ac:dyDescent="0.3">
      <c r="A58" s="153"/>
      <c r="B58" s="83"/>
      <c r="C58" s="83"/>
      <c r="D58" s="83"/>
    </row>
    <row r="59" spans="1:4" x14ac:dyDescent="0.3">
      <c r="A59" s="153"/>
      <c r="B59" s="83"/>
      <c r="C59" s="83"/>
      <c r="D59" s="83"/>
    </row>
    <row r="60" spans="1:4" x14ac:dyDescent="0.3">
      <c r="A60" s="153"/>
      <c r="B60" s="83"/>
      <c r="C60" s="83"/>
      <c r="D60" s="83"/>
    </row>
    <row r="61" spans="1:4" x14ac:dyDescent="0.3">
      <c r="A61" s="153"/>
      <c r="B61" s="83"/>
      <c r="C61" s="83"/>
      <c r="D61" s="83"/>
    </row>
    <row r="62" spans="1:4" x14ac:dyDescent="0.3">
      <c r="A62" s="153"/>
      <c r="B62" s="83"/>
      <c r="C62" s="83"/>
      <c r="D62" s="83"/>
    </row>
    <row r="63" spans="1:4" x14ac:dyDescent="0.3">
      <c r="A63" s="153"/>
      <c r="B63" s="83"/>
      <c r="C63" s="83"/>
      <c r="D63" s="83"/>
    </row>
    <row r="64" spans="1:4" x14ac:dyDescent="0.3">
      <c r="A64" s="153"/>
      <c r="B64" s="83"/>
      <c r="C64" s="83"/>
      <c r="D64" s="83"/>
    </row>
    <row r="65" spans="1:4" x14ac:dyDescent="0.3">
      <c r="A65" s="153"/>
      <c r="B65" s="83"/>
      <c r="C65" s="83"/>
      <c r="D65" s="83"/>
    </row>
    <row r="66" spans="1:4" x14ac:dyDescent="0.3">
      <c r="A66" s="153"/>
      <c r="B66" s="83"/>
      <c r="C66" s="83"/>
      <c r="D66" s="83"/>
    </row>
    <row r="67" spans="1:4" x14ac:dyDescent="0.3">
      <c r="A67" s="153"/>
      <c r="B67" s="83"/>
      <c r="C67" s="83"/>
      <c r="D67" s="83"/>
    </row>
    <row r="68" spans="1:4" x14ac:dyDescent="0.3">
      <c r="A68" s="153"/>
      <c r="B68" s="83"/>
      <c r="C68" s="83"/>
      <c r="D68" s="83"/>
    </row>
    <row r="69" spans="1:4" x14ac:dyDescent="0.3">
      <c r="A69" s="153"/>
      <c r="B69" s="83"/>
      <c r="C69" s="83"/>
      <c r="D69" s="83"/>
    </row>
    <row r="70" spans="1:4" x14ac:dyDescent="0.3">
      <c r="A70" s="153"/>
      <c r="B70" s="83"/>
      <c r="C70" s="83"/>
      <c r="D70" s="83"/>
    </row>
    <row r="71" spans="1:4" x14ac:dyDescent="0.3">
      <c r="A71" s="153"/>
      <c r="B71" s="83"/>
      <c r="C71" s="83"/>
      <c r="D71" s="83"/>
    </row>
    <row r="72" spans="1:4" x14ac:dyDescent="0.3">
      <c r="A72" s="153"/>
      <c r="B72" s="83"/>
      <c r="C72" s="83"/>
      <c r="D72" s="83"/>
    </row>
    <row r="73" spans="1:4" x14ac:dyDescent="0.3">
      <c r="A73" s="153"/>
      <c r="B73" s="83"/>
      <c r="C73" s="83"/>
      <c r="D73" s="83"/>
    </row>
    <row r="74" spans="1:4" x14ac:dyDescent="0.3">
      <c r="A74" s="153"/>
      <c r="B74" s="83"/>
      <c r="C74" s="83"/>
      <c r="D74" s="83"/>
    </row>
    <row r="75" spans="1:4" x14ac:dyDescent="0.3">
      <c r="A75" s="153"/>
      <c r="B75" s="83"/>
      <c r="C75" s="83"/>
      <c r="D75" s="83"/>
    </row>
    <row r="76" spans="1:4" x14ac:dyDescent="0.3">
      <c r="A76" s="79"/>
      <c r="B76" s="83"/>
      <c r="C76" s="83"/>
      <c r="D76" s="83"/>
    </row>
    <row r="77" spans="1:4" x14ac:dyDescent="0.3">
      <c r="A77" s="79"/>
      <c r="B77" s="83"/>
      <c r="C77" s="83"/>
      <c r="D77" s="83"/>
    </row>
    <row r="78" spans="1:4" x14ac:dyDescent="0.3">
      <c r="A78" s="79"/>
      <c r="B78" s="83"/>
      <c r="C78" s="83"/>
      <c r="D78" s="83"/>
    </row>
    <row r="79" spans="1:4" x14ac:dyDescent="0.3">
      <c r="A79" s="79"/>
      <c r="B79" s="83"/>
      <c r="C79" s="83"/>
      <c r="D79" s="83"/>
    </row>
    <row r="80" spans="1:4" x14ac:dyDescent="0.3">
      <c r="A80" s="79"/>
      <c r="B80" s="83"/>
      <c r="C80" s="83"/>
      <c r="D80" s="83"/>
    </row>
    <row r="81" spans="1:4" x14ac:dyDescent="0.3">
      <c r="A81" s="79"/>
      <c r="B81" s="83"/>
      <c r="C81" s="83"/>
      <c r="D81" s="83"/>
    </row>
    <row r="82" spans="1:4" x14ac:dyDescent="0.3">
      <c r="A82" s="79"/>
      <c r="B82" s="83"/>
      <c r="C82" s="83"/>
      <c r="D82" s="83"/>
    </row>
    <row r="83" spans="1:4" x14ac:dyDescent="0.3">
      <c r="A83" s="79"/>
      <c r="B83" s="83"/>
      <c r="C83" s="83"/>
      <c r="D83" s="83"/>
    </row>
    <row r="84" spans="1:4" x14ac:dyDescent="0.3">
      <c r="A84" s="79"/>
      <c r="B84" s="83"/>
      <c r="C84" s="83"/>
      <c r="D84" s="83"/>
    </row>
    <row r="85" spans="1:4" x14ac:dyDescent="0.3">
      <c r="A85" s="79"/>
      <c r="B85" s="83"/>
      <c r="C85" s="83"/>
      <c r="D85" s="83"/>
    </row>
    <row r="86" spans="1:4" x14ac:dyDescent="0.3">
      <c r="A86" s="79"/>
      <c r="B86" s="83"/>
      <c r="C86" s="83"/>
      <c r="D86" s="83"/>
    </row>
    <row r="87" spans="1:4" x14ac:dyDescent="0.3">
      <c r="A87" s="79"/>
      <c r="B87" s="83"/>
      <c r="C87" s="83"/>
      <c r="D87" s="83"/>
    </row>
    <row r="88" spans="1:4" x14ac:dyDescent="0.3">
      <c r="A88" s="79"/>
      <c r="B88" s="83"/>
      <c r="C88" s="83"/>
      <c r="D88" s="83"/>
    </row>
    <row r="89" spans="1:4" x14ac:dyDescent="0.3">
      <c r="A89" s="79"/>
      <c r="B89" s="83"/>
      <c r="C89" s="83"/>
      <c r="D89" s="83"/>
    </row>
    <row r="90" spans="1:4" x14ac:dyDescent="0.3">
      <c r="A90" s="79"/>
      <c r="B90" s="83"/>
      <c r="C90" s="83"/>
      <c r="D90" s="83"/>
    </row>
    <row r="91" spans="1:4" x14ac:dyDescent="0.3">
      <c r="A91" s="79"/>
      <c r="B91" s="83"/>
      <c r="C91" s="83"/>
      <c r="D91" s="83"/>
    </row>
    <row r="92" spans="1:4" x14ac:dyDescent="0.3">
      <c r="B92" s="83"/>
      <c r="C92" s="83"/>
      <c r="D92" s="83"/>
    </row>
    <row r="93" spans="1:4" x14ac:dyDescent="0.3">
      <c r="B93" s="83"/>
      <c r="C93" s="83"/>
      <c r="D93" s="83"/>
    </row>
    <row r="94" spans="1:4" x14ac:dyDescent="0.3">
      <c r="B94" s="83"/>
      <c r="C94" s="83"/>
      <c r="D94" s="83"/>
    </row>
    <row r="95" spans="1:4" x14ac:dyDescent="0.3">
      <c r="B95" s="83"/>
      <c r="C95" s="83"/>
      <c r="D95" s="83"/>
    </row>
    <row r="96" spans="1:4" x14ac:dyDescent="0.3">
      <c r="B96" s="83"/>
      <c r="C96" s="83"/>
      <c r="D96" s="83"/>
    </row>
    <row r="97" spans="1:4" x14ac:dyDescent="0.3">
      <c r="B97" s="83"/>
      <c r="C97" s="83"/>
      <c r="D97" s="83"/>
    </row>
    <row r="98" spans="1:4" x14ac:dyDescent="0.3">
      <c r="A98" s="83"/>
      <c r="B98" s="83"/>
      <c r="C98" s="83"/>
      <c r="D98" s="83"/>
    </row>
    <row r="99" spans="1:4" x14ac:dyDescent="0.3">
      <c r="A99" s="83"/>
      <c r="B99" s="83"/>
      <c r="C99" s="83"/>
      <c r="D99" s="83"/>
    </row>
  </sheetData>
  <sortState ref="A50:B70">
    <sortCondition ref="B50:B70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0000FF"/>
  </sheetPr>
  <dimension ref="A1:I197"/>
  <sheetViews>
    <sheetView workbookViewId="0">
      <pane ySplit="4" topLeftCell="A8" activePane="bottomLeft" state="frozen"/>
      <selection activeCell="G170" sqref="G170"/>
      <selection pane="bottomLeft" activeCell="G170" sqref="G170"/>
    </sheetView>
  </sheetViews>
  <sheetFormatPr defaultRowHeight="14.4" x14ac:dyDescent="0.3"/>
  <cols>
    <col min="1" max="6" width="18.6640625" customWidth="1"/>
    <col min="257" max="262" width="18.6640625" customWidth="1"/>
    <col min="513" max="518" width="18.6640625" customWidth="1"/>
    <col min="769" max="774" width="18.6640625" customWidth="1"/>
    <col min="1025" max="1030" width="18.6640625" customWidth="1"/>
    <col min="1281" max="1286" width="18.6640625" customWidth="1"/>
    <col min="1537" max="1542" width="18.6640625" customWidth="1"/>
    <col min="1793" max="1798" width="18.6640625" customWidth="1"/>
    <col min="2049" max="2054" width="18.6640625" customWidth="1"/>
    <col min="2305" max="2310" width="18.6640625" customWidth="1"/>
    <col min="2561" max="2566" width="18.6640625" customWidth="1"/>
    <col min="2817" max="2822" width="18.6640625" customWidth="1"/>
    <col min="3073" max="3078" width="18.6640625" customWidth="1"/>
    <col min="3329" max="3334" width="18.6640625" customWidth="1"/>
    <col min="3585" max="3590" width="18.6640625" customWidth="1"/>
    <col min="3841" max="3846" width="18.6640625" customWidth="1"/>
    <col min="4097" max="4102" width="18.6640625" customWidth="1"/>
    <col min="4353" max="4358" width="18.6640625" customWidth="1"/>
    <col min="4609" max="4614" width="18.6640625" customWidth="1"/>
    <col min="4865" max="4870" width="18.6640625" customWidth="1"/>
    <col min="5121" max="5126" width="18.6640625" customWidth="1"/>
    <col min="5377" max="5382" width="18.6640625" customWidth="1"/>
    <col min="5633" max="5638" width="18.6640625" customWidth="1"/>
    <col min="5889" max="5894" width="18.6640625" customWidth="1"/>
    <col min="6145" max="6150" width="18.6640625" customWidth="1"/>
    <col min="6401" max="6406" width="18.6640625" customWidth="1"/>
    <col min="6657" max="6662" width="18.6640625" customWidth="1"/>
    <col min="6913" max="6918" width="18.6640625" customWidth="1"/>
    <col min="7169" max="7174" width="18.6640625" customWidth="1"/>
    <col min="7425" max="7430" width="18.6640625" customWidth="1"/>
    <col min="7681" max="7686" width="18.6640625" customWidth="1"/>
    <col min="7937" max="7942" width="18.6640625" customWidth="1"/>
    <col min="8193" max="8198" width="18.6640625" customWidth="1"/>
    <col min="8449" max="8454" width="18.6640625" customWidth="1"/>
    <col min="8705" max="8710" width="18.6640625" customWidth="1"/>
    <col min="8961" max="8966" width="18.6640625" customWidth="1"/>
    <col min="9217" max="9222" width="18.6640625" customWidth="1"/>
    <col min="9473" max="9478" width="18.6640625" customWidth="1"/>
    <col min="9729" max="9734" width="18.6640625" customWidth="1"/>
    <col min="9985" max="9990" width="18.6640625" customWidth="1"/>
    <col min="10241" max="10246" width="18.6640625" customWidth="1"/>
    <col min="10497" max="10502" width="18.6640625" customWidth="1"/>
    <col min="10753" max="10758" width="18.6640625" customWidth="1"/>
    <col min="11009" max="11014" width="18.6640625" customWidth="1"/>
    <col min="11265" max="11270" width="18.6640625" customWidth="1"/>
    <col min="11521" max="11526" width="18.6640625" customWidth="1"/>
    <col min="11777" max="11782" width="18.6640625" customWidth="1"/>
    <col min="12033" max="12038" width="18.6640625" customWidth="1"/>
    <col min="12289" max="12294" width="18.6640625" customWidth="1"/>
    <col min="12545" max="12550" width="18.6640625" customWidth="1"/>
    <col min="12801" max="12806" width="18.6640625" customWidth="1"/>
    <col min="13057" max="13062" width="18.6640625" customWidth="1"/>
    <col min="13313" max="13318" width="18.6640625" customWidth="1"/>
    <col min="13569" max="13574" width="18.6640625" customWidth="1"/>
    <col min="13825" max="13830" width="18.6640625" customWidth="1"/>
    <col min="14081" max="14086" width="18.6640625" customWidth="1"/>
    <col min="14337" max="14342" width="18.6640625" customWidth="1"/>
    <col min="14593" max="14598" width="18.6640625" customWidth="1"/>
    <col min="14849" max="14854" width="18.6640625" customWidth="1"/>
    <col min="15105" max="15110" width="18.6640625" customWidth="1"/>
    <col min="15361" max="15366" width="18.6640625" customWidth="1"/>
    <col min="15617" max="15622" width="18.6640625" customWidth="1"/>
    <col min="15873" max="15878" width="18.6640625" customWidth="1"/>
    <col min="16129" max="16134" width="18.6640625" customWidth="1"/>
  </cols>
  <sheetData>
    <row r="1" spans="1:9" ht="21" x14ac:dyDescent="0.4">
      <c r="A1" s="173" t="s">
        <v>80</v>
      </c>
      <c r="B1" s="173"/>
      <c r="C1" s="173"/>
      <c r="D1" s="173"/>
      <c r="E1" s="173"/>
      <c r="F1" s="173"/>
    </row>
    <row r="3" spans="1:9" x14ac:dyDescent="0.3">
      <c r="A3" s="6">
        <v>0.2</v>
      </c>
      <c r="B3" s="6">
        <v>0.1</v>
      </c>
      <c r="C3" s="6">
        <v>0.05</v>
      </c>
      <c r="D3" s="6">
        <v>0.02</v>
      </c>
      <c r="E3" s="6">
        <v>0.01</v>
      </c>
      <c r="F3" s="7" t="s">
        <v>81</v>
      </c>
    </row>
    <row r="4" spans="1:9" x14ac:dyDescent="0.3">
      <c r="A4" s="8" t="s">
        <v>82</v>
      </c>
      <c r="B4" s="8" t="s">
        <v>83</v>
      </c>
      <c r="C4" s="8" t="s">
        <v>84</v>
      </c>
      <c r="D4" s="8" t="s">
        <v>85</v>
      </c>
      <c r="E4" s="8" t="s">
        <v>86</v>
      </c>
      <c r="F4" s="8" t="s">
        <v>87</v>
      </c>
    </row>
    <row r="5" spans="1:9" x14ac:dyDescent="0.3">
      <c r="A5" s="174">
        <v>100</v>
      </c>
      <c r="B5" s="175">
        <v>100</v>
      </c>
      <c r="C5" s="170">
        <v>100</v>
      </c>
      <c r="D5" s="171">
        <v>100</v>
      </c>
      <c r="E5" s="172">
        <v>100</v>
      </c>
      <c r="F5" s="9">
        <v>100</v>
      </c>
    </row>
    <row r="6" spans="1:9" x14ac:dyDescent="0.3">
      <c r="A6" s="174"/>
      <c r="B6" s="175"/>
      <c r="C6" s="170"/>
      <c r="D6" s="171"/>
      <c r="E6" s="172"/>
      <c r="F6" s="9">
        <v>101</v>
      </c>
    </row>
    <row r="7" spans="1:9" x14ac:dyDescent="0.3">
      <c r="A7" s="174"/>
      <c r="B7" s="175"/>
      <c r="C7" s="170"/>
      <c r="D7" s="171"/>
      <c r="E7" s="172">
        <v>102</v>
      </c>
      <c r="F7" s="9">
        <v>102</v>
      </c>
    </row>
    <row r="8" spans="1:9" x14ac:dyDescent="0.3">
      <c r="A8" s="174"/>
      <c r="B8" s="175"/>
      <c r="C8" s="170"/>
      <c r="D8" s="171"/>
      <c r="E8" s="172"/>
      <c r="F8" s="9">
        <v>104</v>
      </c>
    </row>
    <row r="9" spans="1:9" x14ac:dyDescent="0.3">
      <c r="A9" s="174"/>
      <c r="B9" s="175"/>
      <c r="C9" s="170"/>
      <c r="D9" s="171">
        <v>105</v>
      </c>
      <c r="E9" s="172">
        <v>105</v>
      </c>
      <c r="F9" s="9">
        <v>105</v>
      </c>
    </row>
    <row r="10" spans="1:9" x14ac:dyDescent="0.3">
      <c r="A10" s="174"/>
      <c r="B10" s="175"/>
      <c r="C10" s="170"/>
      <c r="D10" s="171"/>
      <c r="E10" s="172"/>
      <c r="F10" s="9">
        <v>106</v>
      </c>
      <c r="I10" s="2"/>
    </row>
    <row r="11" spans="1:9" x14ac:dyDescent="0.3">
      <c r="A11" s="174"/>
      <c r="B11" s="175"/>
      <c r="C11" s="170"/>
      <c r="D11" s="171"/>
      <c r="E11" s="172">
        <v>107</v>
      </c>
      <c r="F11" s="9">
        <v>107</v>
      </c>
    </row>
    <row r="12" spans="1:9" x14ac:dyDescent="0.3">
      <c r="A12" s="174"/>
      <c r="B12" s="175"/>
      <c r="C12" s="170"/>
      <c r="D12" s="171"/>
      <c r="E12" s="172"/>
      <c r="F12" s="9">
        <v>109</v>
      </c>
    </row>
    <row r="13" spans="1:9" x14ac:dyDescent="0.3">
      <c r="A13" s="174"/>
      <c r="B13" s="175"/>
      <c r="C13" s="170">
        <v>110</v>
      </c>
      <c r="D13" s="171">
        <v>110</v>
      </c>
      <c r="E13" s="172">
        <v>110</v>
      </c>
      <c r="F13" s="9">
        <v>110</v>
      </c>
    </row>
    <row r="14" spans="1:9" x14ac:dyDescent="0.3">
      <c r="A14" s="174"/>
      <c r="B14" s="175"/>
      <c r="C14" s="170"/>
      <c r="D14" s="171"/>
      <c r="E14" s="172"/>
      <c r="F14" s="9">
        <v>111</v>
      </c>
    </row>
    <row r="15" spans="1:9" x14ac:dyDescent="0.3">
      <c r="A15" s="174"/>
      <c r="B15" s="175"/>
      <c r="C15" s="170"/>
      <c r="D15" s="171"/>
      <c r="E15" s="172">
        <v>113</v>
      </c>
      <c r="F15" s="9">
        <v>113</v>
      </c>
    </row>
    <row r="16" spans="1:9" x14ac:dyDescent="0.3">
      <c r="A16" s="174"/>
      <c r="B16" s="175"/>
      <c r="C16" s="170"/>
      <c r="D16" s="171"/>
      <c r="E16" s="172"/>
      <c r="F16" s="9">
        <v>114</v>
      </c>
    </row>
    <row r="17" spans="1:6" x14ac:dyDescent="0.3">
      <c r="A17" s="174"/>
      <c r="B17" s="175"/>
      <c r="C17" s="170"/>
      <c r="D17" s="171">
        <v>115</v>
      </c>
      <c r="E17" s="172">
        <v>115</v>
      </c>
      <c r="F17" s="9">
        <v>115</v>
      </c>
    </row>
    <row r="18" spans="1:6" x14ac:dyDescent="0.3">
      <c r="A18" s="174"/>
      <c r="B18" s="175"/>
      <c r="C18" s="170"/>
      <c r="D18" s="171"/>
      <c r="E18" s="172"/>
      <c r="F18" s="9">
        <v>117</v>
      </c>
    </row>
    <row r="19" spans="1:6" x14ac:dyDescent="0.3">
      <c r="A19" s="174"/>
      <c r="B19" s="175"/>
      <c r="C19" s="170"/>
      <c r="D19" s="171"/>
      <c r="E19" s="172">
        <v>118</v>
      </c>
      <c r="F19" s="9">
        <v>118</v>
      </c>
    </row>
    <row r="20" spans="1:6" x14ac:dyDescent="0.3">
      <c r="A20" s="174"/>
      <c r="B20" s="175"/>
      <c r="C20" s="170"/>
      <c r="D20" s="171"/>
      <c r="E20" s="172"/>
      <c r="F20" s="9">
        <v>120</v>
      </c>
    </row>
    <row r="21" spans="1:6" x14ac:dyDescent="0.3">
      <c r="A21" s="174"/>
      <c r="B21" s="175">
        <v>120</v>
      </c>
      <c r="C21" s="170">
        <v>120</v>
      </c>
      <c r="D21" s="171">
        <v>121</v>
      </c>
      <c r="E21" s="172">
        <v>121</v>
      </c>
      <c r="F21" s="9">
        <v>121</v>
      </c>
    </row>
    <row r="22" spans="1:6" x14ac:dyDescent="0.3">
      <c r="A22" s="174"/>
      <c r="B22" s="175"/>
      <c r="C22" s="170"/>
      <c r="D22" s="171"/>
      <c r="E22" s="172"/>
      <c r="F22" s="9">
        <v>123</v>
      </c>
    </row>
    <row r="23" spans="1:6" x14ac:dyDescent="0.3">
      <c r="A23" s="174"/>
      <c r="B23" s="175"/>
      <c r="C23" s="170"/>
      <c r="D23" s="171"/>
      <c r="E23" s="172">
        <v>124</v>
      </c>
      <c r="F23" s="9">
        <v>124</v>
      </c>
    </row>
    <row r="24" spans="1:6" x14ac:dyDescent="0.3">
      <c r="A24" s="174"/>
      <c r="B24" s="175"/>
      <c r="C24" s="170"/>
      <c r="D24" s="171"/>
      <c r="E24" s="172"/>
      <c r="F24" s="9">
        <v>126</v>
      </c>
    </row>
    <row r="25" spans="1:6" x14ac:dyDescent="0.3">
      <c r="A25" s="174"/>
      <c r="B25" s="175"/>
      <c r="C25" s="170"/>
      <c r="D25" s="171">
        <v>127</v>
      </c>
      <c r="E25" s="172">
        <v>127</v>
      </c>
      <c r="F25" s="9">
        <v>127</v>
      </c>
    </row>
    <row r="26" spans="1:6" x14ac:dyDescent="0.3">
      <c r="A26" s="174"/>
      <c r="B26" s="175"/>
      <c r="C26" s="170"/>
      <c r="D26" s="171"/>
      <c r="E26" s="172"/>
      <c r="F26" s="9">
        <v>129</v>
      </c>
    </row>
    <row r="27" spans="1:6" x14ac:dyDescent="0.3">
      <c r="A27" s="174"/>
      <c r="B27" s="175"/>
      <c r="C27" s="170"/>
      <c r="D27" s="171"/>
      <c r="E27" s="172">
        <v>130</v>
      </c>
      <c r="F27" s="9">
        <v>130</v>
      </c>
    </row>
    <row r="28" spans="1:6" x14ac:dyDescent="0.3">
      <c r="A28" s="174"/>
      <c r="B28" s="175"/>
      <c r="C28" s="170"/>
      <c r="D28" s="171"/>
      <c r="E28" s="172"/>
      <c r="F28" s="9">
        <v>132</v>
      </c>
    </row>
    <row r="29" spans="1:6" x14ac:dyDescent="0.3">
      <c r="A29" s="174"/>
      <c r="B29" s="175"/>
      <c r="C29" s="170">
        <v>130</v>
      </c>
      <c r="D29" s="171">
        <v>133</v>
      </c>
      <c r="E29" s="172">
        <v>133</v>
      </c>
      <c r="F29" s="9">
        <v>133</v>
      </c>
    </row>
    <row r="30" spans="1:6" x14ac:dyDescent="0.3">
      <c r="A30" s="174"/>
      <c r="B30" s="175"/>
      <c r="C30" s="170"/>
      <c r="D30" s="171"/>
      <c r="E30" s="172"/>
      <c r="F30" s="9">
        <v>135</v>
      </c>
    </row>
    <row r="31" spans="1:6" x14ac:dyDescent="0.3">
      <c r="A31" s="174"/>
      <c r="B31" s="175"/>
      <c r="C31" s="170"/>
      <c r="D31" s="171"/>
      <c r="E31" s="172">
        <v>137</v>
      </c>
      <c r="F31" s="9">
        <v>137</v>
      </c>
    </row>
    <row r="32" spans="1:6" x14ac:dyDescent="0.3">
      <c r="A32" s="174"/>
      <c r="B32" s="175"/>
      <c r="C32" s="170"/>
      <c r="D32" s="171"/>
      <c r="E32" s="172"/>
      <c r="F32" s="9">
        <v>138</v>
      </c>
    </row>
    <row r="33" spans="1:6" x14ac:dyDescent="0.3">
      <c r="A33" s="174"/>
      <c r="B33" s="175"/>
      <c r="C33" s="170"/>
      <c r="D33" s="171">
        <v>140</v>
      </c>
      <c r="E33" s="172">
        <v>140</v>
      </c>
      <c r="F33" s="9">
        <v>140</v>
      </c>
    </row>
    <row r="34" spans="1:6" x14ac:dyDescent="0.3">
      <c r="A34" s="174"/>
      <c r="B34" s="175"/>
      <c r="C34" s="170"/>
      <c r="D34" s="171"/>
      <c r="E34" s="172"/>
      <c r="F34" s="9">
        <v>142</v>
      </c>
    </row>
    <row r="35" spans="1:6" x14ac:dyDescent="0.3">
      <c r="A35" s="174"/>
      <c r="B35" s="175"/>
      <c r="C35" s="170"/>
      <c r="D35" s="171"/>
      <c r="E35" s="172">
        <v>143</v>
      </c>
      <c r="F35" s="9">
        <v>143</v>
      </c>
    </row>
    <row r="36" spans="1:6" x14ac:dyDescent="0.3">
      <c r="A36" s="174"/>
      <c r="B36" s="175"/>
      <c r="C36" s="170"/>
      <c r="D36" s="171"/>
      <c r="E36" s="172"/>
      <c r="F36" s="9">
        <v>145</v>
      </c>
    </row>
    <row r="37" spans="1:6" x14ac:dyDescent="0.3">
      <c r="A37" s="174">
        <v>150</v>
      </c>
      <c r="B37" s="175">
        <v>150</v>
      </c>
      <c r="C37" s="170">
        <v>150</v>
      </c>
      <c r="D37" s="171">
        <v>147</v>
      </c>
      <c r="E37" s="172">
        <v>147</v>
      </c>
      <c r="F37" s="9">
        <v>147</v>
      </c>
    </row>
    <row r="38" spans="1:6" x14ac:dyDescent="0.3">
      <c r="A38" s="174"/>
      <c r="B38" s="175"/>
      <c r="C38" s="170"/>
      <c r="D38" s="171"/>
      <c r="E38" s="172"/>
      <c r="F38" s="9">
        <v>149</v>
      </c>
    </row>
    <row r="39" spans="1:6" x14ac:dyDescent="0.3">
      <c r="A39" s="174"/>
      <c r="B39" s="175"/>
      <c r="C39" s="170"/>
      <c r="D39" s="171"/>
      <c r="E39" s="172">
        <v>150</v>
      </c>
      <c r="F39" s="9">
        <v>150</v>
      </c>
    </row>
    <row r="40" spans="1:6" x14ac:dyDescent="0.3">
      <c r="A40" s="174"/>
      <c r="B40" s="175"/>
      <c r="C40" s="170"/>
      <c r="D40" s="171"/>
      <c r="E40" s="172"/>
      <c r="F40" s="9">
        <v>152</v>
      </c>
    </row>
    <row r="41" spans="1:6" x14ac:dyDescent="0.3">
      <c r="A41" s="174"/>
      <c r="B41" s="175"/>
      <c r="C41" s="170"/>
      <c r="D41" s="171">
        <v>154</v>
      </c>
      <c r="E41" s="172">
        <v>154</v>
      </c>
      <c r="F41" s="9">
        <v>154</v>
      </c>
    </row>
    <row r="42" spans="1:6" x14ac:dyDescent="0.3">
      <c r="A42" s="174"/>
      <c r="B42" s="175"/>
      <c r="C42" s="170"/>
      <c r="D42" s="171"/>
      <c r="E42" s="172"/>
      <c r="F42" s="9">
        <v>156</v>
      </c>
    </row>
    <row r="43" spans="1:6" x14ac:dyDescent="0.3">
      <c r="A43" s="174"/>
      <c r="B43" s="175"/>
      <c r="C43" s="170"/>
      <c r="D43" s="171"/>
      <c r="E43" s="172">
        <v>158</v>
      </c>
      <c r="F43" s="9">
        <v>158</v>
      </c>
    </row>
    <row r="44" spans="1:6" x14ac:dyDescent="0.3">
      <c r="A44" s="174"/>
      <c r="B44" s="175"/>
      <c r="C44" s="170"/>
      <c r="D44" s="171"/>
      <c r="E44" s="172"/>
      <c r="F44" s="9">
        <v>160</v>
      </c>
    </row>
    <row r="45" spans="1:6" x14ac:dyDescent="0.3">
      <c r="A45" s="174"/>
      <c r="B45" s="175"/>
      <c r="C45" s="170">
        <v>160</v>
      </c>
      <c r="D45" s="171">
        <v>162</v>
      </c>
      <c r="E45" s="172">
        <v>162</v>
      </c>
      <c r="F45" s="9">
        <v>162</v>
      </c>
    </row>
    <row r="46" spans="1:6" x14ac:dyDescent="0.3">
      <c r="A46" s="174"/>
      <c r="B46" s="175"/>
      <c r="C46" s="170"/>
      <c r="D46" s="171"/>
      <c r="E46" s="172"/>
      <c r="F46" s="9">
        <v>164</v>
      </c>
    </row>
    <row r="47" spans="1:6" x14ac:dyDescent="0.3">
      <c r="A47" s="174"/>
      <c r="B47" s="175"/>
      <c r="C47" s="170"/>
      <c r="D47" s="171"/>
      <c r="E47" s="172">
        <v>165</v>
      </c>
      <c r="F47" s="9">
        <v>165</v>
      </c>
    </row>
    <row r="48" spans="1:6" x14ac:dyDescent="0.3">
      <c r="A48" s="174"/>
      <c r="B48" s="175"/>
      <c r="C48" s="170"/>
      <c r="D48" s="171"/>
      <c r="E48" s="172"/>
      <c r="F48" s="9">
        <v>167</v>
      </c>
    </row>
    <row r="49" spans="1:6" x14ac:dyDescent="0.3">
      <c r="A49" s="174"/>
      <c r="B49" s="175"/>
      <c r="C49" s="170"/>
      <c r="D49" s="171">
        <v>169</v>
      </c>
      <c r="E49" s="172">
        <v>169</v>
      </c>
      <c r="F49" s="9">
        <v>169</v>
      </c>
    </row>
    <row r="50" spans="1:6" x14ac:dyDescent="0.3">
      <c r="A50" s="174"/>
      <c r="B50" s="175"/>
      <c r="C50" s="170"/>
      <c r="D50" s="171"/>
      <c r="E50" s="172"/>
      <c r="F50" s="9">
        <v>172</v>
      </c>
    </row>
    <row r="51" spans="1:6" x14ac:dyDescent="0.3">
      <c r="A51" s="174"/>
      <c r="B51" s="175"/>
      <c r="C51" s="170"/>
      <c r="D51" s="171"/>
      <c r="E51" s="172">
        <v>174</v>
      </c>
      <c r="F51" s="9">
        <v>174</v>
      </c>
    </row>
    <row r="52" spans="1:6" x14ac:dyDescent="0.3">
      <c r="A52" s="174"/>
      <c r="B52" s="175"/>
      <c r="C52" s="170"/>
      <c r="D52" s="171"/>
      <c r="E52" s="172"/>
      <c r="F52" s="9">
        <v>176</v>
      </c>
    </row>
    <row r="53" spans="1:6" x14ac:dyDescent="0.3">
      <c r="A53" s="174"/>
      <c r="B53" s="175">
        <v>180</v>
      </c>
      <c r="C53" s="170">
        <v>180</v>
      </c>
      <c r="D53" s="171">
        <v>178</v>
      </c>
      <c r="E53" s="172">
        <v>178</v>
      </c>
      <c r="F53" s="9">
        <v>178</v>
      </c>
    </row>
    <row r="54" spans="1:6" x14ac:dyDescent="0.3">
      <c r="A54" s="174"/>
      <c r="B54" s="175"/>
      <c r="C54" s="170"/>
      <c r="D54" s="171"/>
      <c r="E54" s="172"/>
      <c r="F54" s="9">
        <v>180</v>
      </c>
    </row>
    <row r="55" spans="1:6" x14ac:dyDescent="0.3">
      <c r="A55" s="174"/>
      <c r="B55" s="175"/>
      <c r="C55" s="170"/>
      <c r="D55" s="171"/>
      <c r="E55" s="172">
        <v>182</v>
      </c>
      <c r="F55" s="9">
        <v>182</v>
      </c>
    </row>
    <row r="56" spans="1:6" x14ac:dyDescent="0.3">
      <c r="A56" s="174"/>
      <c r="B56" s="175"/>
      <c r="C56" s="170"/>
      <c r="D56" s="171"/>
      <c r="E56" s="172"/>
      <c r="F56" s="9">
        <v>184</v>
      </c>
    </row>
    <row r="57" spans="1:6" x14ac:dyDescent="0.3">
      <c r="A57" s="174"/>
      <c r="B57" s="175"/>
      <c r="C57" s="170"/>
      <c r="D57" s="171">
        <v>187</v>
      </c>
      <c r="E57" s="172">
        <v>187</v>
      </c>
      <c r="F57" s="9">
        <v>187</v>
      </c>
    </row>
    <row r="58" spans="1:6" x14ac:dyDescent="0.3">
      <c r="A58" s="174"/>
      <c r="B58" s="175"/>
      <c r="C58" s="170"/>
      <c r="D58" s="171"/>
      <c r="E58" s="172"/>
      <c r="F58" s="9">
        <v>189</v>
      </c>
    </row>
    <row r="59" spans="1:6" x14ac:dyDescent="0.3">
      <c r="A59" s="174"/>
      <c r="B59" s="175"/>
      <c r="C59" s="170"/>
      <c r="D59" s="171"/>
      <c r="E59" s="172">
        <v>191</v>
      </c>
      <c r="F59" s="9">
        <v>191</v>
      </c>
    </row>
    <row r="60" spans="1:6" x14ac:dyDescent="0.3">
      <c r="A60" s="174"/>
      <c r="B60" s="175"/>
      <c r="C60" s="170"/>
      <c r="D60" s="171"/>
      <c r="E60" s="172"/>
      <c r="F60" s="9">
        <v>193</v>
      </c>
    </row>
    <row r="61" spans="1:6" x14ac:dyDescent="0.3">
      <c r="A61" s="174"/>
      <c r="B61" s="175"/>
      <c r="C61" s="170">
        <v>200</v>
      </c>
      <c r="D61" s="171">
        <v>196</v>
      </c>
      <c r="E61" s="172">
        <v>196</v>
      </c>
      <c r="F61" s="9">
        <v>196</v>
      </c>
    </row>
    <row r="62" spans="1:6" x14ac:dyDescent="0.3">
      <c r="A62" s="174"/>
      <c r="B62" s="175"/>
      <c r="C62" s="170"/>
      <c r="D62" s="171"/>
      <c r="E62" s="172"/>
      <c r="F62" s="9">
        <v>198</v>
      </c>
    </row>
    <row r="63" spans="1:6" x14ac:dyDescent="0.3">
      <c r="A63" s="174"/>
      <c r="B63" s="175"/>
      <c r="C63" s="170"/>
      <c r="D63" s="171"/>
      <c r="E63" s="172">
        <v>200</v>
      </c>
      <c r="F63" s="9">
        <v>200</v>
      </c>
    </row>
    <row r="64" spans="1:6" x14ac:dyDescent="0.3">
      <c r="A64" s="174"/>
      <c r="B64" s="175"/>
      <c r="C64" s="170"/>
      <c r="D64" s="171"/>
      <c r="E64" s="172"/>
      <c r="F64" s="9">
        <v>203</v>
      </c>
    </row>
    <row r="65" spans="1:6" x14ac:dyDescent="0.3">
      <c r="A65" s="174"/>
      <c r="B65" s="175"/>
      <c r="C65" s="170"/>
      <c r="D65" s="171">
        <v>205</v>
      </c>
      <c r="E65" s="172">
        <v>205</v>
      </c>
      <c r="F65" s="9">
        <v>205</v>
      </c>
    </row>
    <row r="66" spans="1:6" x14ac:dyDescent="0.3">
      <c r="A66" s="174"/>
      <c r="B66" s="175"/>
      <c r="C66" s="170"/>
      <c r="D66" s="171"/>
      <c r="E66" s="172"/>
      <c r="F66" s="9">
        <v>208</v>
      </c>
    </row>
    <row r="67" spans="1:6" x14ac:dyDescent="0.3">
      <c r="A67" s="174"/>
      <c r="B67" s="175"/>
      <c r="C67" s="170"/>
      <c r="D67" s="171"/>
      <c r="E67" s="172">
        <v>210</v>
      </c>
      <c r="F67" s="9">
        <v>210</v>
      </c>
    </row>
    <row r="68" spans="1:6" x14ac:dyDescent="0.3">
      <c r="A68" s="174"/>
      <c r="B68" s="175"/>
      <c r="C68" s="170"/>
      <c r="D68" s="171"/>
      <c r="E68" s="172"/>
      <c r="F68" s="9">
        <v>213</v>
      </c>
    </row>
    <row r="69" spans="1:6" x14ac:dyDescent="0.3">
      <c r="A69" s="174">
        <v>220</v>
      </c>
      <c r="B69" s="175">
        <v>220</v>
      </c>
      <c r="C69" s="170">
        <v>220</v>
      </c>
      <c r="D69" s="171">
        <v>215</v>
      </c>
      <c r="E69" s="172">
        <v>215</v>
      </c>
      <c r="F69" s="9">
        <v>215</v>
      </c>
    </row>
    <row r="70" spans="1:6" x14ac:dyDescent="0.3">
      <c r="A70" s="174"/>
      <c r="B70" s="175"/>
      <c r="C70" s="170"/>
      <c r="D70" s="171"/>
      <c r="E70" s="172"/>
      <c r="F70" s="9">
        <v>218</v>
      </c>
    </row>
    <row r="71" spans="1:6" x14ac:dyDescent="0.3">
      <c r="A71" s="174"/>
      <c r="B71" s="175"/>
      <c r="C71" s="170"/>
      <c r="D71" s="171"/>
      <c r="E71" s="172">
        <v>221</v>
      </c>
      <c r="F71" s="9">
        <v>221</v>
      </c>
    </row>
    <row r="72" spans="1:6" x14ac:dyDescent="0.3">
      <c r="A72" s="174"/>
      <c r="B72" s="175"/>
      <c r="C72" s="170"/>
      <c r="D72" s="171"/>
      <c r="E72" s="172"/>
      <c r="F72" s="9">
        <v>223</v>
      </c>
    </row>
    <row r="73" spans="1:6" x14ac:dyDescent="0.3">
      <c r="A73" s="174"/>
      <c r="B73" s="175"/>
      <c r="C73" s="170"/>
      <c r="D73" s="171">
        <v>226</v>
      </c>
      <c r="E73" s="172">
        <v>226</v>
      </c>
      <c r="F73" s="9">
        <v>226</v>
      </c>
    </row>
    <row r="74" spans="1:6" x14ac:dyDescent="0.3">
      <c r="A74" s="174"/>
      <c r="B74" s="175"/>
      <c r="C74" s="170"/>
      <c r="D74" s="171"/>
      <c r="E74" s="172"/>
      <c r="F74" s="9">
        <v>229</v>
      </c>
    </row>
    <row r="75" spans="1:6" x14ac:dyDescent="0.3">
      <c r="A75" s="174"/>
      <c r="B75" s="175"/>
      <c r="C75" s="170"/>
      <c r="D75" s="171"/>
      <c r="E75" s="172">
        <v>232</v>
      </c>
      <c r="F75" s="9">
        <v>232</v>
      </c>
    </row>
    <row r="76" spans="1:6" x14ac:dyDescent="0.3">
      <c r="A76" s="174"/>
      <c r="B76" s="175"/>
      <c r="C76" s="170"/>
      <c r="D76" s="171"/>
      <c r="E76" s="172"/>
      <c r="F76" s="9">
        <v>234</v>
      </c>
    </row>
    <row r="77" spans="1:6" x14ac:dyDescent="0.3">
      <c r="A77" s="174"/>
      <c r="B77" s="175"/>
      <c r="C77" s="170">
        <v>240</v>
      </c>
      <c r="D77" s="171">
        <v>237</v>
      </c>
      <c r="E77" s="172">
        <v>237</v>
      </c>
      <c r="F77" s="9">
        <v>237</v>
      </c>
    </row>
    <row r="78" spans="1:6" x14ac:dyDescent="0.3">
      <c r="A78" s="174"/>
      <c r="B78" s="175"/>
      <c r="C78" s="170"/>
      <c r="D78" s="171"/>
      <c r="E78" s="172"/>
      <c r="F78" s="9">
        <v>240</v>
      </c>
    </row>
    <row r="79" spans="1:6" x14ac:dyDescent="0.3">
      <c r="A79" s="174"/>
      <c r="B79" s="175"/>
      <c r="C79" s="170"/>
      <c r="D79" s="171"/>
      <c r="E79" s="172">
        <v>243</v>
      </c>
      <c r="F79" s="9">
        <v>243</v>
      </c>
    </row>
    <row r="80" spans="1:6" x14ac:dyDescent="0.3">
      <c r="A80" s="174"/>
      <c r="B80" s="175"/>
      <c r="C80" s="170"/>
      <c r="D80" s="171"/>
      <c r="E80" s="172"/>
      <c r="F80" s="9">
        <v>246</v>
      </c>
    </row>
    <row r="81" spans="1:6" x14ac:dyDescent="0.3">
      <c r="A81" s="174"/>
      <c r="B81" s="175"/>
      <c r="C81" s="170"/>
      <c r="D81" s="171">
        <v>249</v>
      </c>
      <c r="E81" s="172">
        <v>249</v>
      </c>
      <c r="F81" s="9">
        <v>249</v>
      </c>
    </row>
    <row r="82" spans="1:6" x14ac:dyDescent="0.3">
      <c r="A82" s="174"/>
      <c r="B82" s="175"/>
      <c r="C82" s="170"/>
      <c r="D82" s="171"/>
      <c r="E82" s="172"/>
      <c r="F82" s="9">
        <v>252</v>
      </c>
    </row>
    <row r="83" spans="1:6" x14ac:dyDescent="0.3">
      <c r="A83" s="174"/>
      <c r="B83" s="175"/>
      <c r="C83" s="170"/>
      <c r="D83" s="171"/>
      <c r="E83" s="172">
        <v>255</v>
      </c>
      <c r="F83" s="9">
        <v>255</v>
      </c>
    </row>
    <row r="84" spans="1:6" x14ac:dyDescent="0.3">
      <c r="A84" s="174"/>
      <c r="B84" s="175"/>
      <c r="C84" s="170"/>
      <c r="D84" s="171"/>
      <c r="E84" s="172"/>
      <c r="F84" s="9">
        <v>258</v>
      </c>
    </row>
    <row r="85" spans="1:6" x14ac:dyDescent="0.3">
      <c r="A85" s="174"/>
      <c r="B85" s="175">
        <v>270</v>
      </c>
      <c r="C85" s="170">
        <v>270</v>
      </c>
      <c r="D85" s="171">
        <v>261</v>
      </c>
      <c r="E85" s="172">
        <v>261</v>
      </c>
      <c r="F85" s="9">
        <v>261</v>
      </c>
    </row>
    <row r="86" spans="1:6" x14ac:dyDescent="0.3">
      <c r="A86" s="174"/>
      <c r="B86" s="175"/>
      <c r="C86" s="170"/>
      <c r="D86" s="171"/>
      <c r="E86" s="172"/>
      <c r="F86" s="9">
        <v>264</v>
      </c>
    </row>
    <row r="87" spans="1:6" x14ac:dyDescent="0.3">
      <c r="A87" s="174"/>
      <c r="B87" s="175"/>
      <c r="C87" s="170"/>
      <c r="D87" s="171"/>
      <c r="E87" s="172">
        <v>267</v>
      </c>
      <c r="F87" s="9">
        <v>267</v>
      </c>
    </row>
    <row r="88" spans="1:6" x14ac:dyDescent="0.3">
      <c r="A88" s="174"/>
      <c r="B88" s="175"/>
      <c r="C88" s="170"/>
      <c r="D88" s="171"/>
      <c r="E88" s="172"/>
      <c r="F88" s="9">
        <v>271</v>
      </c>
    </row>
    <row r="89" spans="1:6" x14ac:dyDescent="0.3">
      <c r="A89" s="174"/>
      <c r="B89" s="175"/>
      <c r="C89" s="170"/>
      <c r="D89" s="171">
        <v>274</v>
      </c>
      <c r="E89" s="172">
        <v>274</v>
      </c>
      <c r="F89" s="9">
        <v>274</v>
      </c>
    </row>
    <row r="90" spans="1:6" x14ac:dyDescent="0.3">
      <c r="A90" s="174"/>
      <c r="B90" s="175"/>
      <c r="C90" s="170"/>
      <c r="D90" s="171"/>
      <c r="E90" s="172"/>
      <c r="F90" s="9">
        <v>277</v>
      </c>
    </row>
    <row r="91" spans="1:6" x14ac:dyDescent="0.3">
      <c r="A91" s="174"/>
      <c r="B91" s="175"/>
      <c r="C91" s="170"/>
      <c r="D91" s="171"/>
      <c r="E91" s="172">
        <v>280</v>
      </c>
      <c r="F91" s="9">
        <v>280</v>
      </c>
    </row>
    <row r="92" spans="1:6" x14ac:dyDescent="0.3">
      <c r="A92" s="174"/>
      <c r="B92" s="175"/>
      <c r="C92" s="170"/>
      <c r="D92" s="171"/>
      <c r="E92" s="172"/>
      <c r="F92" s="9">
        <v>284</v>
      </c>
    </row>
    <row r="93" spans="1:6" x14ac:dyDescent="0.3">
      <c r="A93" s="174"/>
      <c r="B93" s="175"/>
      <c r="C93" s="170">
        <v>300</v>
      </c>
      <c r="D93" s="171">
        <v>287</v>
      </c>
      <c r="E93" s="172">
        <v>287</v>
      </c>
      <c r="F93" s="9">
        <v>287</v>
      </c>
    </row>
    <row r="94" spans="1:6" x14ac:dyDescent="0.3">
      <c r="A94" s="174"/>
      <c r="B94" s="175"/>
      <c r="C94" s="170"/>
      <c r="D94" s="171"/>
      <c r="E94" s="172"/>
      <c r="F94" s="9">
        <v>291</v>
      </c>
    </row>
    <row r="95" spans="1:6" x14ac:dyDescent="0.3">
      <c r="A95" s="174"/>
      <c r="B95" s="175"/>
      <c r="C95" s="170"/>
      <c r="D95" s="171"/>
      <c r="E95" s="172">
        <v>294</v>
      </c>
      <c r="F95" s="9">
        <v>294</v>
      </c>
    </row>
    <row r="96" spans="1:6" x14ac:dyDescent="0.3">
      <c r="A96" s="174"/>
      <c r="B96" s="175"/>
      <c r="C96" s="170"/>
      <c r="D96" s="171"/>
      <c r="E96" s="172"/>
      <c r="F96" s="9">
        <v>298</v>
      </c>
    </row>
    <row r="97" spans="1:6" x14ac:dyDescent="0.3">
      <c r="A97" s="174"/>
      <c r="B97" s="175"/>
      <c r="C97" s="170"/>
      <c r="D97" s="171">
        <v>301</v>
      </c>
      <c r="E97" s="172">
        <v>301</v>
      </c>
      <c r="F97" s="9">
        <v>301</v>
      </c>
    </row>
    <row r="98" spans="1:6" x14ac:dyDescent="0.3">
      <c r="A98" s="174"/>
      <c r="B98" s="175"/>
      <c r="C98" s="170"/>
      <c r="D98" s="171"/>
      <c r="E98" s="172"/>
      <c r="F98" s="9">
        <v>305</v>
      </c>
    </row>
    <row r="99" spans="1:6" x14ac:dyDescent="0.3">
      <c r="A99" s="174"/>
      <c r="B99" s="175"/>
      <c r="C99" s="170"/>
      <c r="D99" s="171"/>
      <c r="E99" s="172">
        <v>309</v>
      </c>
      <c r="F99" s="9">
        <v>309</v>
      </c>
    </row>
    <row r="100" spans="1:6" x14ac:dyDescent="0.3">
      <c r="A100" s="174"/>
      <c r="B100" s="175"/>
      <c r="C100" s="170"/>
      <c r="D100" s="171"/>
      <c r="E100" s="172"/>
      <c r="F100" s="9">
        <v>312</v>
      </c>
    </row>
    <row r="101" spans="1:6" x14ac:dyDescent="0.3">
      <c r="A101" s="174">
        <v>330</v>
      </c>
      <c r="B101" s="175">
        <v>330</v>
      </c>
      <c r="C101" s="170">
        <v>330</v>
      </c>
      <c r="D101" s="171">
        <v>316</v>
      </c>
      <c r="E101" s="172">
        <v>316</v>
      </c>
      <c r="F101" s="9">
        <v>316</v>
      </c>
    </row>
    <row r="102" spans="1:6" x14ac:dyDescent="0.3">
      <c r="A102" s="174"/>
      <c r="B102" s="175"/>
      <c r="C102" s="170"/>
      <c r="D102" s="171"/>
      <c r="E102" s="172"/>
      <c r="F102" s="9">
        <v>320</v>
      </c>
    </row>
    <row r="103" spans="1:6" x14ac:dyDescent="0.3">
      <c r="A103" s="174"/>
      <c r="B103" s="175"/>
      <c r="C103" s="170"/>
      <c r="D103" s="171"/>
      <c r="E103" s="172">
        <v>324</v>
      </c>
      <c r="F103" s="9">
        <v>324</v>
      </c>
    </row>
    <row r="104" spans="1:6" x14ac:dyDescent="0.3">
      <c r="A104" s="174"/>
      <c r="B104" s="175"/>
      <c r="C104" s="170"/>
      <c r="D104" s="171"/>
      <c r="E104" s="172"/>
      <c r="F104" s="9">
        <v>328</v>
      </c>
    </row>
    <row r="105" spans="1:6" x14ac:dyDescent="0.3">
      <c r="A105" s="174"/>
      <c r="B105" s="175"/>
      <c r="C105" s="170"/>
      <c r="D105" s="171">
        <v>332</v>
      </c>
      <c r="E105" s="172">
        <v>332</v>
      </c>
      <c r="F105" s="9">
        <v>332</v>
      </c>
    </row>
    <row r="106" spans="1:6" x14ac:dyDescent="0.3">
      <c r="A106" s="174"/>
      <c r="B106" s="175"/>
      <c r="C106" s="170"/>
      <c r="D106" s="171"/>
      <c r="E106" s="172"/>
      <c r="F106" s="9">
        <v>336</v>
      </c>
    </row>
    <row r="107" spans="1:6" x14ac:dyDescent="0.3">
      <c r="A107" s="174"/>
      <c r="B107" s="175"/>
      <c r="C107" s="170"/>
      <c r="D107" s="171"/>
      <c r="E107" s="172">
        <v>340</v>
      </c>
      <c r="F107" s="9">
        <v>340</v>
      </c>
    </row>
    <row r="108" spans="1:6" x14ac:dyDescent="0.3">
      <c r="A108" s="174"/>
      <c r="B108" s="175"/>
      <c r="C108" s="170"/>
      <c r="D108" s="171"/>
      <c r="E108" s="172"/>
      <c r="F108" s="9">
        <v>344</v>
      </c>
    </row>
    <row r="109" spans="1:6" x14ac:dyDescent="0.3">
      <c r="A109" s="174"/>
      <c r="B109" s="175"/>
      <c r="C109" s="170">
        <v>360</v>
      </c>
      <c r="D109" s="171">
        <v>348</v>
      </c>
      <c r="E109" s="172">
        <v>348</v>
      </c>
      <c r="F109" s="9">
        <v>348</v>
      </c>
    </row>
    <row r="110" spans="1:6" x14ac:dyDescent="0.3">
      <c r="A110" s="174"/>
      <c r="B110" s="175"/>
      <c r="C110" s="170"/>
      <c r="D110" s="171"/>
      <c r="E110" s="172"/>
      <c r="F110" s="9">
        <v>352</v>
      </c>
    </row>
    <row r="111" spans="1:6" x14ac:dyDescent="0.3">
      <c r="A111" s="174"/>
      <c r="B111" s="175"/>
      <c r="C111" s="170"/>
      <c r="D111" s="171"/>
      <c r="E111" s="172">
        <v>357</v>
      </c>
      <c r="F111" s="9">
        <v>357</v>
      </c>
    </row>
    <row r="112" spans="1:6" x14ac:dyDescent="0.3">
      <c r="A112" s="174"/>
      <c r="B112" s="175"/>
      <c r="C112" s="170"/>
      <c r="D112" s="171"/>
      <c r="E112" s="172"/>
      <c r="F112" s="9">
        <v>361</v>
      </c>
    </row>
    <row r="113" spans="1:6" x14ac:dyDescent="0.3">
      <c r="A113" s="174"/>
      <c r="B113" s="175"/>
      <c r="C113" s="170"/>
      <c r="D113" s="171">
        <v>365</v>
      </c>
      <c r="E113" s="172">
        <v>365</v>
      </c>
      <c r="F113" s="9">
        <v>365</v>
      </c>
    </row>
    <row r="114" spans="1:6" x14ac:dyDescent="0.3">
      <c r="A114" s="174"/>
      <c r="B114" s="175"/>
      <c r="C114" s="170"/>
      <c r="D114" s="171"/>
      <c r="E114" s="172"/>
      <c r="F114" s="9">
        <v>370</v>
      </c>
    </row>
    <row r="115" spans="1:6" x14ac:dyDescent="0.3">
      <c r="A115" s="174"/>
      <c r="B115" s="175"/>
      <c r="C115" s="170"/>
      <c r="D115" s="171"/>
      <c r="E115" s="172">
        <v>374</v>
      </c>
      <c r="F115" s="9">
        <v>374</v>
      </c>
    </row>
    <row r="116" spans="1:6" x14ac:dyDescent="0.3">
      <c r="A116" s="174"/>
      <c r="B116" s="175"/>
      <c r="C116" s="170"/>
      <c r="D116" s="171"/>
      <c r="E116" s="172"/>
      <c r="F116" s="9">
        <v>379</v>
      </c>
    </row>
    <row r="117" spans="1:6" x14ac:dyDescent="0.3">
      <c r="A117" s="174"/>
      <c r="B117" s="175">
        <v>390</v>
      </c>
      <c r="C117" s="170">
        <v>390</v>
      </c>
      <c r="D117" s="171">
        <v>383</v>
      </c>
      <c r="E117" s="172">
        <v>383</v>
      </c>
      <c r="F117" s="9">
        <v>383</v>
      </c>
    </row>
    <row r="118" spans="1:6" x14ac:dyDescent="0.3">
      <c r="A118" s="174"/>
      <c r="B118" s="175"/>
      <c r="C118" s="170"/>
      <c r="D118" s="171"/>
      <c r="E118" s="172"/>
      <c r="F118" s="9">
        <v>388</v>
      </c>
    </row>
    <row r="119" spans="1:6" x14ac:dyDescent="0.3">
      <c r="A119" s="174"/>
      <c r="B119" s="175"/>
      <c r="C119" s="170"/>
      <c r="D119" s="171"/>
      <c r="E119" s="172">
        <v>392</v>
      </c>
      <c r="F119" s="9">
        <v>392</v>
      </c>
    </row>
    <row r="120" spans="1:6" x14ac:dyDescent="0.3">
      <c r="A120" s="174"/>
      <c r="B120" s="175"/>
      <c r="C120" s="170"/>
      <c r="D120" s="171"/>
      <c r="E120" s="172"/>
      <c r="F120" s="9">
        <v>397</v>
      </c>
    </row>
    <row r="121" spans="1:6" x14ac:dyDescent="0.3">
      <c r="A121" s="174"/>
      <c r="B121" s="175"/>
      <c r="C121" s="170"/>
      <c r="D121" s="171">
        <v>402</v>
      </c>
      <c r="E121" s="172">
        <v>402</v>
      </c>
      <c r="F121" s="9">
        <v>402</v>
      </c>
    </row>
    <row r="122" spans="1:6" x14ac:dyDescent="0.3">
      <c r="A122" s="174"/>
      <c r="B122" s="175"/>
      <c r="C122" s="170"/>
      <c r="D122" s="171"/>
      <c r="E122" s="172"/>
      <c r="F122" s="9">
        <v>407</v>
      </c>
    </row>
    <row r="123" spans="1:6" x14ac:dyDescent="0.3">
      <c r="A123" s="174"/>
      <c r="B123" s="175"/>
      <c r="C123" s="170"/>
      <c r="D123" s="171"/>
      <c r="E123" s="172">
        <v>412</v>
      </c>
      <c r="F123" s="9">
        <v>412</v>
      </c>
    </row>
    <row r="124" spans="1:6" x14ac:dyDescent="0.3">
      <c r="A124" s="174"/>
      <c r="B124" s="175"/>
      <c r="C124" s="170"/>
      <c r="D124" s="171"/>
      <c r="E124" s="172"/>
      <c r="F124" s="9">
        <v>417</v>
      </c>
    </row>
    <row r="125" spans="1:6" x14ac:dyDescent="0.3">
      <c r="A125" s="174"/>
      <c r="B125" s="175"/>
      <c r="C125" s="170">
        <v>430</v>
      </c>
      <c r="D125" s="171">
        <v>422</v>
      </c>
      <c r="E125" s="172">
        <v>422</v>
      </c>
      <c r="F125" s="9">
        <v>422</v>
      </c>
    </row>
    <row r="126" spans="1:6" x14ac:dyDescent="0.3">
      <c r="A126" s="174"/>
      <c r="B126" s="175"/>
      <c r="C126" s="170"/>
      <c r="D126" s="171"/>
      <c r="E126" s="172"/>
      <c r="F126" s="9">
        <v>427</v>
      </c>
    </row>
    <row r="127" spans="1:6" x14ac:dyDescent="0.3">
      <c r="A127" s="174"/>
      <c r="B127" s="175"/>
      <c r="C127" s="170"/>
      <c r="D127" s="171"/>
      <c r="E127" s="172">
        <v>432</v>
      </c>
      <c r="F127" s="9">
        <v>432</v>
      </c>
    </row>
    <row r="128" spans="1:6" x14ac:dyDescent="0.3">
      <c r="A128" s="174"/>
      <c r="B128" s="175"/>
      <c r="C128" s="170"/>
      <c r="D128" s="171"/>
      <c r="E128" s="172"/>
      <c r="F128" s="9">
        <v>437</v>
      </c>
    </row>
    <row r="129" spans="1:6" x14ac:dyDescent="0.3">
      <c r="A129" s="174"/>
      <c r="B129" s="175"/>
      <c r="C129" s="170"/>
      <c r="D129" s="171">
        <v>442</v>
      </c>
      <c r="E129" s="172">
        <v>442</v>
      </c>
      <c r="F129" s="9">
        <v>442</v>
      </c>
    </row>
    <row r="130" spans="1:6" x14ac:dyDescent="0.3">
      <c r="A130" s="174"/>
      <c r="B130" s="175"/>
      <c r="C130" s="170"/>
      <c r="D130" s="171"/>
      <c r="E130" s="172"/>
      <c r="F130" s="9">
        <v>448</v>
      </c>
    </row>
    <row r="131" spans="1:6" x14ac:dyDescent="0.3">
      <c r="A131" s="174"/>
      <c r="B131" s="175"/>
      <c r="C131" s="170"/>
      <c r="D131" s="171"/>
      <c r="E131" s="172">
        <v>453</v>
      </c>
      <c r="F131" s="9">
        <v>453</v>
      </c>
    </row>
    <row r="132" spans="1:6" x14ac:dyDescent="0.3">
      <c r="A132" s="174"/>
      <c r="B132" s="175"/>
      <c r="C132" s="170"/>
      <c r="D132" s="171"/>
      <c r="E132" s="172"/>
      <c r="F132" s="9">
        <v>459</v>
      </c>
    </row>
    <row r="133" spans="1:6" x14ac:dyDescent="0.3">
      <c r="A133" s="174">
        <v>470</v>
      </c>
      <c r="B133" s="175">
        <v>470</v>
      </c>
      <c r="C133" s="170">
        <v>470</v>
      </c>
      <c r="D133" s="171">
        <v>464</v>
      </c>
      <c r="E133" s="172">
        <v>464</v>
      </c>
      <c r="F133" s="9">
        <v>464</v>
      </c>
    </row>
    <row r="134" spans="1:6" x14ac:dyDescent="0.3">
      <c r="A134" s="174"/>
      <c r="B134" s="175"/>
      <c r="C134" s="170"/>
      <c r="D134" s="171"/>
      <c r="E134" s="172"/>
      <c r="F134" s="9">
        <v>470</v>
      </c>
    </row>
    <row r="135" spans="1:6" x14ac:dyDescent="0.3">
      <c r="A135" s="174"/>
      <c r="B135" s="175"/>
      <c r="C135" s="170"/>
      <c r="D135" s="171"/>
      <c r="E135" s="172">
        <v>475</v>
      </c>
      <c r="F135" s="9">
        <v>475</v>
      </c>
    </row>
    <row r="136" spans="1:6" x14ac:dyDescent="0.3">
      <c r="A136" s="174"/>
      <c r="B136" s="175"/>
      <c r="C136" s="170"/>
      <c r="D136" s="171"/>
      <c r="E136" s="172"/>
      <c r="F136" s="9">
        <v>481</v>
      </c>
    </row>
    <row r="137" spans="1:6" x14ac:dyDescent="0.3">
      <c r="A137" s="174"/>
      <c r="B137" s="175"/>
      <c r="C137" s="170"/>
      <c r="D137" s="171">
        <v>487</v>
      </c>
      <c r="E137" s="172">
        <v>487</v>
      </c>
      <c r="F137" s="9">
        <v>487</v>
      </c>
    </row>
    <row r="138" spans="1:6" x14ac:dyDescent="0.3">
      <c r="A138" s="174"/>
      <c r="B138" s="175"/>
      <c r="C138" s="170"/>
      <c r="D138" s="171"/>
      <c r="E138" s="172"/>
      <c r="F138" s="9">
        <v>493</v>
      </c>
    </row>
    <row r="139" spans="1:6" x14ac:dyDescent="0.3">
      <c r="A139" s="174"/>
      <c r="B139" s="175"/>
      <c r="C139" s="170"/>
      <c r="D139" s="171"/>
      <c r="E139" s="172">
        <v>499</v>
      </c>
      <c r="F139" s="9">
        <v>499</v>
      </c>
    </row>
    <row r="140" spans="1:6" x14ac:dyDescent="0.3">
      <c r="A140" s="174"/>
      <c r="B140" s="175"/>
      <c r="C140" s="170"/>
      <c r="D140" s="171"/>
      <c r="E140" s="172"/>
      <c r="F140" s="9">
        <v>505</v>
      </c>
    </row>
    <row r="141" spans="1:6" x14ac:dyDescent="0.3">
      <c r="A141" s="174"/>
      <c r="B141" s="175"/>
      <c r="C141" s="170">
        <v>510</v>
      </c>
      <c r="D141" s="171">
        <v>511</v>
      </c>
      <c r="E141" s="172">
        <v>511</v>
      </c>
      <c r="F141" s="9">
        <v>511</v>
      </c>
    </row>
    <row r="142" spans="1:6" x14ac:dyDescent="0.3">
      <c r="A142" s="174"/>
      <c r="B142" s="175"/>
      <c r="C142" s="170"/>
      <c r="D142" s="171"/>
      <c r="E142" s="172"/>
      <c r="F142" s="9">
        <v>517</v>
      </c>
    </row>
    <row r="143" spans="1:6" x14ac:dyDescent="0.3">
      <c r="A143" s="174"/>
      <c r="B143" s="175"/>
      <c r="C143" s="170"/>
      <c r="D143" s="171"/>
      <c r="E143" s="172">
        <v>523</v>
      </c>
      <c r="F143" s="9">
        <v>523</v>
      </c>
    </row>
    <row r="144" spans="1:6" x14ac:dyDescent="0.3">
      <c r="A144" s="174"/>
      <c r="B144" s="175"/>
      <c r="C144" s="170"/>
      <c r="D144" s="171"/>
      <c r="E144" s="172"/>
      <c r="F144" s="9">
        <v>530</v>
      </c>
    </row>
    <row r="145" spans="1:6" x14ac:dyDescent="0.3">
      <c r="A145" s="174"/>
      <c r="B145" s="175"/>
      <c r="C145" s="170"/>
      <c r="D145" s="171">
        <v>536</v>
      </c>
      <c r="E145" s="172">
        <v>536</v>
      </c>
      <c r="F145" s="9">
        <v>536</v>
      </c>
    </row>
    <row r="146" spans="1:6" x14ac:dyDescent="0.3">
      <c r="A146" s="174"/>
      <c r="B146" s="175"/>
      <c r="C146" s="170"/>
      <c r="D146" s="171"/>
      <c r="E146" s="172"/>
      <c r="F146" s="9">
        <v>542</v>
      </c>
    </row>
    <row r="147" spans="1:6" x14ac:dyDescent="0.3">
      <c r="A147" s="174"/>
      <c r="B147" s="175"/>
      <c r="C147" s="170"/>
      <c r="D147" s="171"/>
      <c r="E147" s="172">
        <v>549</v>
      </c>
      <c r="F147" s="9">
        <v>549</v>
      </c>
    </row>
    <row r="148" spans="1:6" x14ac:dyDescent="0.3">
      <c r="A148" s="174"/>
      <c r="B148" s="175"/>
      <c r="C148" s="170"/>
      <c r="D148" s="171"/>
      <c r="E148" s="172"/>
      <c r="F148" s="9">
        <v>556</v>
      </c>
    </row>
    <row r="149" spans="1:6" x14ac:dyDescent="0.3">
      <c r="A149" s="174"/>
      <c r="B149" s="175">
        <v>560</v>
      </c>
      <c r="C149" s="170">
        <v>560</v>
      </c>
      <c r="D149" s="171">
        <v>562</v>
      </c>
      <c r="E149" s="172">
        <v>562</v>
      </c>
      <c r="F149" s="9">
        <v>562</v>
      </c>
    </row>
    <row r="150" spans="1:6" x14ac:dyDescent="0.3">
      <c r="A150" s="174"/>
      <c r="B150" s="175"/>
      <c r="C150" s="170"/>
      <c r="D150" s="171"/>
      <c r="E150" s="172"/>
      <c r="F150" s="9">
        <v>569</v>
      </c>
    </row>
    <row r="151" spans="1:6" x14ac:dyDescent="0.3">
      <c r="A151" s="174"/>
      <c r="B151" s="175"/>
      <c r="C151" s="170"/>
      <c r="D151" s="171"/>
      <c r="E151" s="172">
        <v>576</v>
      </c>
      <c r="F151" s="9">
        <v>576</v>
      </c>
    </row>
    <row r="152" spans="1:6" x14ac:dyDescent="0.3">
      <c r="A152" s="174"/>
      <c r="B152" s="175"/>
      <c r="C152" s="170"/>
      <c r="D152" s="171"/>
      <c r="E152" s="172"/>
      <c r="F152" s="9">
        <v>583</v>
      </c>
    </row>
    <row r="153" spans="1:6" x14ac:dyDescent="0.3">
      <c r="A153" s="174"/>
      <c r="B153" s="175"/>
      <c r="C153" s="170"/>
      <c r="D153" s="171">
        <v>590</v>
      </c>
      <c r="E153" s="172">
        <v>590</v>
      </c>
      <c r="F153" s="9">
        <v>590</v>
      </c>
    </row>
    <row r="154" spans="1:6" x14ac:dyDescent="0.3">
      <c r="A154" s="174"/>
      <c r="B154" s="175"/>
      <c r="C154" s="170"/>
      <c r="D154" s="171"/>
      <c r="E154" s="172"/>
      <c r="F154" s="9">
        <v>597</v>
      </c>
    </row>
    <row r="155" spans="1:6" x14ac:dyDescent="0.3">
      <c r="A155" s="174"/>
      <c r="B155" s="175"/>
      <c r="C155" s="170"/>
      <c r="D155" s="171"/>
      <c r="E155" s="172">
        <v>604</v>
      </c>
      <c r="F155" s="9">
        <v>604</v>
      </c>
    </row>
    <row r="156" spans="1:6" x14ac:dyDescent="0.3">
      <c r="A156" s="174"/>
      <c r="B156" s="175"/>
      <c r="C156" s="170"/>
      <c r="D156" s="171"/>
      <c r="E156" s="172"/>
      <c r="F156" s="9">
        <v>612</v>
      </c>
    </row>
    <row r="157" spans="1:6" x14ac:dyDescent="0.3">
      <c r="A157" s="174"/>
      <c r="B157" s="175"/>
      <c r="C157" s="170">
        <v>620</v>
      </c>
      <c r="D157" s="171">
        <v>619</v>
      </c>
      <c r="E157" s="172">
        <v>619</v>
      </c>
      <c r="F157" s="9">
        <v>619</v>
      </c>
    </row>
    <row r="158" spans="1:6" x14ac:dyDescent="0.3">
      <c r="A158" s="174"/>
      <c r="B158" s="175"/>
      <c r="C158" s="170"/>
      <c r="D158" s="171"/>
      <c r="E158" s="172"/>
      <c r="F158" s="9">
        <v>626</v>
      </c>
    </row>
    <row r="159" spans="1:6" x14ac:dyDescent="0.3">
      <c r="A159" s="174"/>
      <c r="B159" s="175"/>
      <c r="C159" s="170"/>
      <c r="D159" s="171"/>
      <c r="E159" s="172">
        <v>634</v>
      </c>
      <c r="F159" s="9">
        <v>634</v>
      </c>
    </row>
    <row r="160" spans="1:6" x14ac:dyDescent="0.3">
      <c r="A160" s="174"/>
      <c r="B160" s="175"/>
      <c r="C160" s="170"/>
      <c r="D160" s="171"/>
      <c r="E160" s="172"/>
      <c r="F160" s="9">
        <v>642</v>
      </c>
    </row>
    <row r="161" spans="1:6" x14ac:dyDescent="0.3">
      <c r="A161" s="174"/>
      <c r="B161" s="175"/>
      <c r="C161" s="170"/>
      <c r="D161" s="171">
        <v>649</v>
      </c>
      <c r="E161" s="172">
        <v>649</v>
      </c>
      <c r="F161" s="9">
        <v>649</v>
      </c>
    </row>
    <row r="162" spans="1:6" x14ac:dyDescent="0.3">
      <c r="A162" s="174"/>
      <c r="B162" s="175"/>
      <c r="C162" s="170"/>
      <c r="D162" s="171"/>
      <c r="E162" s="172"/>
      <c r="F162" s="9">
        <v>657</v>
      </c>
    </row>
    <row r="163" spans="1:6" x14ac:dyDescent="0.3">
      <c r="A163" s="174"/>
      <c r="B163" s="175"/>
      <c r="C163" s="170"/>
      <c r="D163" s="171"/>
      <c r="E163" s="172">
        <v>665</v>
      </c>
      <c r="F163" s="9">
        <v>665</v>
      </c>
    </row>
    <row r="164" spans="1:6" x14ac:dyDescent="0.3">
      <c r="A164" s="174"/>
      <c r="B164" s="175"/>
      <c r="C164" s="170"/>
      <c r="D164" s="171"/>
      <c r="E164" s="172"/>
      <c r="F164" s="9">
        <v>673</v>
      </c>
    </row>
    <row r="165" spans="1:6" x14ac:dyDescent="0.3">
      <c r="A165" s="174">
        <v>680</v>
      </c>
      <c r="B165" s="175">
        <v>680</v>
      </c>
      <c r="C165" s="170">
        <v>680</v>
      </c>
      <c r="D165" s="171">
        <v>681</v>
      </c>
      <c r="E165" s="172">
        <v>681</v>
      </c>
      <c r="F165" s="9">
        <v>681</v>
      </c>
    </row>
    <row r="166" spans="1:6" x14ac:dyDescent="0.3">
      <c r="A166" s="174"/>
      <c r="B166" s="175"/>
      <c r="C166" s="170"/>
      <c r="D166" s="171"/>
      <c r="E166" s="172"/>
      <c r="F166" s="9">
        <v>690</v>
      </c>
    </row>
    <row r="167" spans="1:6" x14ac:dyDescent="0.3">
      <c r="A167" s="174"/>
      <c r="B167" s="175"/>
      <c r="C167" s="170"/>
      <c r="D167" s="171"/>
      <c r="E167" s="172">
        <v>698</v>
      </c>
      <c r="F167" s="9">
        <v>698</v>
      </c>
    </row>
    <row r="168" spans="1:6" x14ac:dyDescent="0.3">
      <c r="A168" s="174"/>
      <c r="B168" s="175"/>
      <c r="C168" s="170"/>
      <c r="D168" s="171"/>
      <c r="E168" s="172"/>
      <c r="F168" s="9">
        <v>706</v>
      </c>
    </row>
    <row r="169" spans="1:6" x14ac:dyDescent="0.3">
      <c r="A169" s="174"/>
      <c r="B169" s="175"/>
      <c r="C169" s="170"/>
      <c r="D169" s="171">
        <v>715</v>
      </c>
      <c r="E169" s="172">
        <v>715</v>
      </c>
      <c r="F169" s="9">
        <v>715</v>
      </c>
    </row>
    <row r="170" spans="1:6" x14ac:dyDescent="0.3">
      <c r="A170" s="174"/>
      <c r="B170" s="175"/>
      <c r="C170" s="170"/>
      <c r="D170" s="171"/>
      <c r="E170" s="172"/>
      <c r="F170" s="9">
        <v>723</v>
      </c>
    </row>
    <row r="171" spans="1:6" x14ac:dyDescent="0.3">
      <c r="A171" s="174"/>
      <c r="B171" s="175"/>
      <c r="C171" s="170"/>
      <c r="D171" s="171"/>
      <c r="E171" s="172">
        <v>732</v>
      </c>
      <c r="F171" s="9">
        <v>732</v>
      </c>
    </row>
    <row r="172" spans="1:6" x14ac:dyDescent="0.3">
      <c r="A172" s="174"/>
      <c r="B172" s="175"/>
      <c r="C172" s="170"/>
      <c r="D172" s="171"/>
      <c r="E172" s="172"/>
      <c r="F172" s="9">
        <v>741</v>
      </c>
    </row>
    <row r="173" spans="1:6" x14ac:dyDescent="0.3">
      <c r="A173" s="174"/>
      <c r="B173" s="175"/>
      <c r="C173" s="170">
        <v>750</v>
      </c>
      <c r="D173" s="171">
        <v>750</v>
      </c>
      <c r="E173" s="172">
        <v>750</v>
      </c>
      <c r="F173" s="9">
        <v>750</v>
      </c>
    </row>
    <row r="174" spans="1:6" x14ac:dyDescent="0.3">
      <c r="A174" s="174"/>
      <c r="B174" s="175"/>
      <c r="C174" s="170"/>
      <c r="D174" s="171"/>
      <c r="E174" s="172"/>
      <c r="F174" s="9">
        <v>759</v>
      </c>
    </row>
    <row r="175" spans="1:6" x14ac:dyDescent="0.3">
      <c r="A175" s="174"/>
      <c r="B175" s="175"/>
      <c r="C175" s="170"/>
      <c r="D175" s="171"/>
      <c r="E175" s="172">
        <v>768</v>
      </c>
      <c r="F175" s="9">
        <v>768</v>
      </c>
    </row>
    <row r="176" spans="1:6" x14ac:dyDescent="0.3">
      <c r="A176" s="174"/>
      <c r="B176" s="175"/>
      <c r="C176" s="170"/>
      <c r="D176" s="171"/>
      <c r="E176" s="172"/>
      <c r="F176" s="9">
        <v>777</v>
      </c>
    </row>
    <row r="177" spans="1:6" x14ac:dyDescent="0.3">
      <c r="A177" s="174"/>
      <c r="B177" s="175"/>
      <c r="C177" s="170"/>
      <c r="D177" s="171">
        <v>787</v>
      </c>
      <c r="E177" s="172">
        <v>787</v>
      </c>
      <c r="F177" s="9">
        <v>787</v>
      </c>
    </row>
    <row r="178" spans="1:6" x14ac:dyDescent="0.3">
      <c r="A178" s="174"/>
      <c r="B178" s="175"/>
      <c r="C178" s="170"/>
      <c r="D178" s="171"/>
      <c r="E178" s="172"/>
      <c r="F178" s="9">
        <v>796</v>
      </c>
    </row>
    <row r="179" spans="1:6" x14ac:dyDescent="0.3">
      <c r="A179" s="174"/>
      <c r="B179" s="175"/>
      <c r="C179" s="170"/>
      <c r="D179" s="171"/>
      <c r="E179" s="172">
        <v>806</v>
      </c>
      <c r="F179" s="9">
        <v>806</v>
      </c>
    </row>
    <row r="180" spans="1:6" x14ac:dyDescent="0.3">
      <c r="A180" s="174"/>
      <c r="B180" s="175"/>
      <c r="C180" s="170"/>
      <c r="D180" s="171"/>
      <c r="E180" s="172"/>
      <c r="F180" s="9">
        <v>816</v>
      </c>
    </row>
    <row r="181" spans="1:6" x14ac:dyDescent="0.3">
      <c r="A181" s="174"/>
      <c r="B181" s="175">
        <v>820</v>
      </c>
      <c r="C181" s="170">
        <v>820</v>
      </c>
      <c r="D181" s="171">
        <v>825</v>
      </c>
      <c r="E181" s="172">
        <v>825</v>
      </c>
      <c r="F181" s="9">
        <v>825</v>
      </c>
    </row>
    <row r="182" spans="1:6" x14ac:dyDescent="0.3">
      <c r="A182" s="174"/>
      <c r="B182" s="175"/>
      <c r="C182" s="170"/>
      <c r="D182" s="171"/>
      <c r="E182" s="172"/>
      <c r="F182" s="9">
        <v>835</v>
      </c>
    </row>
    <row r="183" spans="1:6" x14ac:dyDescent="0.3">
      <c r="A183" s="174"/>
      <c r="B183" s="175"/>
      <c r="C183" s="170"/>
      <c r="D183" s="171"/>
      <c r="E183" s="172">
        <v>845</v>
      </c>
      <c r="F183" s="9">
        <v>845</v>
      </c>
    </row>
    <row r="184" spans="1:6" x14ac:dyDescent="0.3">
      <c r="A184" s="174"/>
      <c r="B184" s="175"/>
      <c r="C184" s="170"/>
      <c r="D184" s="171"/>
      <c r="E184" s="172"/>
      <c r="F184" s="9">
        <v>856</v>
      </c>
    </row>
    <row r="185" spans="1:6" x14ac:dyDescent="0.3">
      <c r="A185" s="174"/>
      <c r="B185" s="175"/>
      <c r="C185" s="170"/>
      <c r="D185" s="171">
        <v>866</v>
      </c>
      <c r="E185" s="172">
        <v>866</v>
      </c>
      <c r="F185" s="9">
        <v>866</v>
      </c>
    </row>
    <row r="186" spans="1:6" x14ac:dyDescent="0.3">
      <c r="A186" s="174"/>
      <c r="B186" s="175"/>
      <c r="C186" s="170"/>
      <c r="D186" s="171"/>
      <c r="E186" s="172"/>
      <c r="F186" s="9">
        <v>876</v>
      </c>
    </row>
    <row r="187" spans="1:6" x14ac:dyDescent="0.3">
      <c r="A187" s="174"/>
      <c r="B187" s="175"/>
      <c r="C187" s="170"/>
      <c r="D187" s="171"/>
      <c r="E187" s="172">
        <v>887</v>
      </c>
      <c r="F187" s="9">
        <v>887</v>
      </c>
    </row>
    <row r="188" spans="1:6" x14ac:dyDescent="0.3">
      <c r="A188" s="174"/>
      <c r="B188" s="175"/>
      <c r="C188" s="170"/>
      <c r="D188" s="171"/>
      <c r="E188" s="172"/>
      <c r="F188" s="9">
        <v>898</v>
      </c>
    </row>
    <row r="189" spans="1:6" x14ac:dyDescent="0.3">
      <c r="A189" s="174"/>
      <c r="B189" s="175"/>
      <c r="C189" s="170">
        <v>910</v>
      </c>
      <c r="D189" s="171">
        <v>909</v>
      </c>
      <c r="E189" s="172">
        <v>909</v>
      </c>
      <c r="F189" s="9">
        <v>909</v>
      </c>
    </row>
    <row r="190" spans="1:6" x14ac:dyDescent="0.3">
      <c r="A190" s="174"/>
      <c r="B190" s="175"/>
      <c r="C190" s="170"/>
      <c r="D190" s="171"/>
      <c r="E190" s="172"/>
      <c r="F190" s="9">
        <v>920</v>
      </c>
    </row>
    <row r="191" spans="1:6" x14ac:dyDescent="0.3">
      <c r="A191" s="174"/>
      <c r="B191" s="175"/>
      <c r="C191" s="170"/>
      <c r="D191" s="171"/>
      <c r="E191" s="172">
        <v>931</v>
      </c>
      <c r="F191" s="9">
        <v>931</v>
      </c>
    </row>
    <row r="192" spans="1:6" x14ac:dyDescent="0.3">
      <c r="A192" s="174"/>
      <c r="B192" s="175"/>
      <c r="C192" s="170"/>
      <c r="D192" s="171"/>
      <c r="E192" s="172"/>
      <c r="F192" s="9">
        <v>942</v>
      </c>
    </row>
    <row r="193" spans="1:7" x14ac:dyDescent="0.3">
      <c r="A193" s="174"/>
      <c r="B193" s="175"/>
      <c r="C193" s="170"/>
      <c r="D193" s="171">
        <v>953</v>
      </c>
      <c r="E193" s="172">
        <v>953</v>
      </c>
      <c r="F193" s="9">
        <v>953</v>
      </c>
    </row>
    <row r="194" spans="1:7" x14ac:dyDescent="0.3">
      <c r="A194" s="174"/>
      <c r="B194" s="175"/>
      <c r="C194" s="170"/>
      <c r="D194" s="171"/>
      <c r="E194" s="172"/>
      <c r="F194" s="9">
        <v>965</v>
      </c>
    </row>
    <row r="195" spans="1:7" x14ac:dyDescent="0.3">
      <c r="A195" s="174"/>
      <c r="B195" s="175"/>
      <c r="C195" s="170"/>
      <c r="D195" s="171"/>
      <c r="E195" s="172">
        <v>976</v>
      </c>
      <c r="F195" s="9">
        <v>976</v>
      </c>
    </row>
    <row r="196" spans="1:7" x14ac:dyDescent="0.3">
      <c r="A196" s="174"/>
      <c r="B196" s="175"/>
      <c r="C196" s="170"/>
      <c r="D196" s="171"/>
      <c r="E196" s="172"/>
      <c r="F196" s="9">
        <v>988</v>
      </c>
    </row>
    <row r="197" spans="1:7" x14ac:dyDescent="0.3">
      <c r="A197" s="10">
        <v>1000</v>
      </c>
      <c r="B197" s="11">
        <v>1000</v>
      </c>
      <c r="C197" s="12">
        <v>1000</v>
      </c>
      <c r="D197" s="13">
        <v>1000</v>
      </c>
      <c r="E197" s="14">
        <v>1000</v>
      </c>
      <c r="F197" s="15">
        <v>1000</v>
      </c>
      <c r="G197" s="16" t="s">
        <v>88</v>
      </c>
    </row>
  </sheetData>
  <sheetProtection sheet="1" objects="1" scenarios="1"/>
  <mergeCells count="187">
    <mergeCell ref="E177:E178"/>
    <mergeCell ref="D189:D192"/>
    <mergeCell ref="E189:E190"/>
    <mergeCell ref="E191:E192"/>
    <mergeCell ref="D193:D196"/>
    <mergeCell ref="E193:E194"/>
    <mergeCell ref="E195:E196"/>
    <mergeCell ref="E179:E180"/>
    <mergeCell ref="B181:B196"/>
    <mergeCell ref="C181:C188"/>
    <mergeCell ref="D181:D184"/>
    <mergeCell ref="E181:E182"/>
    <mergeCell ref="E183:E184"/>
    <mergeCell ref="D185:D188"/>
    <mergeCell ref="E185:E186"/>
    <mergeCell ref="E187:E188"/>
    <mergeCell ref="C189:C196"/>
    <mergeCell ref="A165:A196"/>
    <mergeCell ref="B165:B180"/>
    <mergeCell ref="C165:C172"/>
    <mergeCell ref="D165:D168"/>
    <mergeCell ref="E165:E166"/>
    <mergeCell ref="B149:B164"/>
    <mergeCell ref="C149:C156"/>
    <mergeCell ref="D149:D152"/>
    <mergeCell ref="E149:E150"/>
    <mergeCell ref="E151:E152"/>
    <mergeCell ref="D153:D156"/>
    <mergeCell ref="E153:E154"/>
    <mergeCell ref="E155:E156"/>
    <mergeCell ref="C157:C164"/>
    <mergeCell ref="D157:D160"/>
    <mergeCell ref="E167:E168"/>
    <mergeCell ref="D169:D172"/>
    <mergeCell ref="E169:E170"/>
    <mergeCell ref="E171:E172"/>
    <mergeCell ref="C173:C180"/>
    <mergeCell ref="D173:D176"/>
    <mergeCell ref="E173:E174"/>
    <mergeCell ref="E175:E176"/>
    <mergeCell ref="D177:D180"/>
    <mergeCell ref="D141:D144"/>
    <mergeCell ref="E141:E142"/>
    <mergeCell ref="E143:E144"/>
    <mergeCell ref="D145:D148"/>
    <mergeCell ref="E145:E146"/>
    <mergeCell ref="E147:E148"/>
    <mergeCell ref="A133:A164"/>
    <mergeCell ref="B133:B148"/>
    <mergeCell ref="C133:C140"/>
    <mergeCell ref="D133:D136"/>
    <mergeCell ref="E133:E134"/>
    <mergeCell ref="E135:E136"/>
    <mergeCell ref="D137:D140"/>
    <mergeCell ref="E137:E138"/>
    <mergeCell ref="E139:E140"/>
    <mergeCell ref="C141:C148"/>
    <mergeCell ref="E157:E158"/>
    <mergeCell ref="E159:E160"/>
    <mergeCell ref="D161:D164"/>
    <mergeCell ref="E161:E162"/>
    <mergeCell ref="E163:E164"/>
    <mergeCell ref="E113:E114"/>
    <mergeCell ref="D125:D128"/>
    <mergeCell ref="E125:E126"/>
    <mergeCell ref="E127:E128"/>
    <mergeCell ref="D129:D132"/>
    <mergeCell ref="E129:E130"/>
    <mergeCell ref="E131:E132"/>
    <mergeCell ref="E115:E116"/>
    <mergeCell ref="B117:B132"/>
    <mergeCell ref="C117:C124"/>
    <mergeCell ref="D117:D120"/>
    <mergeCell ref="E117:E118"/>
    <mergeCell ref="E119:E120"/>
    <mergeCell ref="D121:D124"/>
    <mergeCell ref="E121:E122"/>
    <mergeCell ref="E123:E124"/>
    <mergeCell ref="C125:C132"/>
    <mergeCell ref="A101:A132"/>
    <mergeCell ref="B101:B116"/>
    <mergeCell ref="C101:C108"/>
    <mergeCell ref="D101:D104"/>
    <mergeCell ref="E101:E102"/>
    <mergeCell ref="B85:B100"/>
    <mergeCell ref="C85:C92"/>
    <mergeCell ref="D85:D88"/>
    <mergeCell ref="E85:E86"/>
    <mergeCell ref="E87:E88"/>
    <mergeCell ref="D89:D92"/>
    <mergeCell ref="E89:E90"/>
    <mergeCell ref="E91:E92"/>
    <mergeCell ref="C93:C100"/>
    <mergeCell ref="D93:D96"/>
    <mergeCell ref="E103:E104"/>
    <mergeCell ref="D105:D108"/>
    <mergeCell ref="E105:E106"/>
    <mergeCell ref="E107:E108"/>
    <mergeCell ref="C109:C116"/>
    <mergeCell ref="D109:D112"/>
    <mergeCell ref="E109:E110"/>
    <mergeCell ref="E111:E112"/>
    <mergeCell ref="D113:D116"/>
    <mergeCell ref="D77:D80"/>
    <mergeCell ref="E77:E78"/>
    <mergeCell ref="E79:E80"/>
    <mergeCell ref="D81:D84"/>
    <mergeCell ref="E81:E82"/>
    <mergeCell ref="E83:E84"/>
    <mergeCell ref="A69:A100"/>
    <mergeCell ref="B69:B84"/>
    <mergeCell ref="C69:C76"/>
    <mergeCell ref="D69:D72"/>
    <mergeCell ref="E69:E70"/>
    <mergeCell ref="E71:E72"/>
    <mergeCell ref="D73:D76"/>
    <mergeCell ref="E73:E74"/>
    <mergeCell ref="E75:E76"/>
    <mergeCell ref="C77:C84"/>
    <mergeCell ref="E93:E94"/>
    <mergeCell ref="E95:E96"/>
    <mergeCell ref="D97:D100"/>
    <mergeCell ref="E97:E98"/>
    <mergeCell ref="E99:E100"/>
    <mergeCell ref="E49:E50"/>
    <mergeCell ref="D61:D64"/>
    <mergeCell ref="E61:E62"/>
    <mergeCell ref="E63:E64"/>
    <mergeCell ref="D65:D68"/>
    <mergeCell ref="E65:E66"/>
    <mergeCell ref="E67:E68"/>
    <mergeCell ref="E51:E52"/>
    <mergeCell ref="B53:B68"/>
    <mergeCell ref="C53:C60"/>
    <mergeCell ref="D53:D56"/>
    <mergeCell ref="E53:E54"/>
    <mergeCell ref="E55:E56"/>
    <mergeCell ref="D57:D60"/>
    <mergeCell ref="E57:E58"/>
    <mergeCell ref="E59:E60"/>
    <mergeCell ref="C61:C68"/>
    <mergeCell ref="A37:A68"/>
    <mergeCell ref="B37:B52"/>
    <mergeCell ref="C37:C44"/>
    <mergeCell ref="D37:D40"/>
    <mergeCell ref="E37:E38"/>
    <mergeCell ref="B21:B36"/>
    <mergeCell ref="C21:C28"/>
    <mergeCell ref="D21:D24"/>
    <mergeCell ref="E21:E22"/>
    <mergeCell ref="E23:E24"/>
    <mergeCell ref="D25:D28"/>
    <mergeCell ref="E25:E26"/>
    <mergeCell ref="E27:E28"/>
    <mergeCell ref="C29:C36"/>
    <mergeCell ref="D29:D32"/>
    <mergeCell ref="E39:E40"/>
    <mergeCell ref="D41:D44"/>
    <mergeCell ref="E41:E42"/>
    <mergeCell ref="E43:E44"/>
    <mergeCell ref="C45:C52"/>
    <mergeCell ref="D45:D48"/>
    <mergeCell ref="E45:E46"/>
    <mergeCell ref="E47:E48"/>
    <mergeCell ref="D49:D52"/>
    <mergeCell ref="C13:C20"/>
    <mergeCell ref="D13:D16"/>
    <mergeCell ref="E13:E14"/>
    <mergeCell ref="E15:E16"/>
    <mergeCell ref="D17:D20"/>
    <mergeCell ref="E17:E18"/>
    <mergeCell ref="E19:E20"/>
    <mergeCell ref="A1:F1"/>
    <mergeCell ref="A5:A36"/>
    <mergeCell ref="B5:B20"/>
    <mergeCell ref="C5:C12"/>
    <mergeCell ref="D5:D8"/>
    <mergeCell ref="E5:E6"/>
    <mergeCell ref="E7:E8"/>
    <mergeCell ref="D9:D12"/>
    <mergeCell ref="E9:E10"/>
    <mergeCell ref="E11:E12"/>
    <mergeCell ref="E29:E30"/>
    <mergeCell ref="E31:E32"/>
    <mergeCell ref="D33:D36"/>
    <mergeCell ref="E33:E34"/>
    <mergeCell ref="E35:E3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499984740745262"/>
  </sheetPr>
  <dimension ref="A1:F75"/>
  <sheetViews>
    <sheetView workbookViewId="0">
      <pane xSplit="1" ySplit="3" topLeftCell="B4" activePane="bottomRight" state="frozen"/>
      <selection activeCell="G170" sqref="G170"/>
      <selection pane="topRight" activeCell="G170" sqref="G170"/>
      <selection pane="bottomLeft" activeCell="G170" sqref="G170"/>
      <selection pane="bottomRight" activeCell="G170" sqref="G170"/>
    </sheetView>
  </sheetViews>
  <sheetFormatPr defaultRowHeight="14.4" x14ac:dyDescent="0.3"/>
  <cols>
    <col min="1" max="4" width="9.33203125" bestFit="1" customWidth="1"/>
  </cols>
  <sheetData>
    <row r="1" spans="1:4" ht="25.8" x14ac:dyDescent="0.5">
      <c r="A1" s="19" t="s">
        <v>90</v>
      </c>
      <c r="B1" s="19"/>
    </row>
    <row r="3" spans="1:4" x14ac:dyDescent="0.3">
      <c r="A3" s="17" t="s">
        <v>66</v>
      </c>
      <c r="B3" s="17" t="s">
        <v>8</v>
      </c>
      <c r="C3" s="17" t="s">
        <v>89</v>
      </c>
      <c r="D3" s="17" t="s">
        <v>92</v>
      </c>
    </row>
    <row r="4" spans="1:4" x14ac:dyDescent="0.3">
      <c r="A4" s="18">
        <v>1</v>
      </c>
      <c r="B4" s="18">
        <v>1</v>
      </c>
      <c r="C4" s="18">
        <v>1</v>
      </c>
      <c r="D4" s="18">
        <v>1</v>
      </c>
    </row>
    <row r="5" spans="1:4" x14ac:dyDescent="0.3">
      <c r="A5" s="18">
        <v>1.1000000000000001</v>
      </c>
      <c r="B5" s="18">
        <v>1.1000000000000001</v>
      </c>
      <c r="C5" s="18"/>
      <c r="D5" s="18"/>
    </row>
    <row r="6" spans="1:4" x14ac:dyDescent="0.3">
      <c r="A6" s="18">
        <v>1.2</v>
      </c>
      <c r="B6" s="18">
        <v>1.2</v>
      </c>
      <c r="C6" s="18"/>
      <c r="D6" s="18"/>
    </row>
    <row r="7" spans="1:4" x14ac:dyDescent="0.3">
      <c r="A7" s="18">
        <v>1.3</v>
      </c>
      <c r="B7" s="18">
        <v>1.3</v>
      </c>
      <c r="C7" s="18"/>
      <c r="D7" s="18"/>
    </row>
    <row r="8" spans="1:4" x14ac:dyDescent="0.3">
      <c r="A8" s="18">
        <v>1.5</v>
      </c>
      <c r="B8" s="18">
        <v>1.5</v>
      </c>
      <c r="C8" s="18">
        <v>1.5</v>
      </c>
      <c r="D8" s="18">
        <v>1.5</v>
      </c>
    </row>
    <row r="9" spans="1:4" x14ac:dyDescent="0.3">
      <c r="A9" s="18">
        <v>1.6</v>
      </c>
      <c r="B9" s="18">
        <v>1.6</v>
      </c>
      <c r="C9" s="18"/>
      <c r="D9" s="18"/>
    </row>
    <row r="10" spans="1:4" x14ac:dyDescent="0.3">
      <c r="A10" s="18">
        <v>1.8</v>
      </c>
      <c r="B10" s="18">
        <v>1.8</v>
      </c>
      <c r="C10" s="18"/>
      <c r="D10" s="18"/>
    </row>
    <row r="11" spans="1:4" x14ac:dyDescent="0.3">
      <c r="A11" s="18">
        <v>2</v>
      </c>
      <c r="B11" s="18">
        <v>2</v>
      </c>
      <c r="C11" s="18"/>
      <c r="D11" s="18"/>
    </row>
    <row r="12" spans="1:4" x14ac:dyDescent="0.3">
      <c r="A12" s="18">
        <v>2.2000000000000002</v>
      </c>
      <c r="B12" s="18">
        <v>2.2000000000000002</v>
      </c>
      <c r="C12" s="18">
        <v>2.2000000000000002</v>
      </c>
      <c r="D12" s="18">
        <v>2.2000000000000002</v>
      </c>
    </row>
    <row r="13" spans="1:4" x14ac:dyDescent="0.3">
      <c r="A13" s="18">
        <v>2.4</v>
      </c>
      <c r="B13" s="18">
        <v>2.4</v>
      </c>
      <c r="C13" s="18"/>
      <c r="D13" s="18"/>
    </row>
    <row r="14" spans="1:4" x14ac:dyDescent="0.3">
      <c r="A14" s="18">
        <v>2.7</v>
      </c>
      <c r="B14" s="18">
        <v>2.7</v>
      </c>
      <c r="C14" s="18"/>
      <c r="D14" s="18"/>
    </row>
    <row r="15" spans="1:4" x14ac:dyDescent="0.3">
      <c r="A15" s="18">
        <v>3</v>
      </c>
      <c r="B15" s="18">
        <v>3</v>
      </c>
      <c r="C15" s="18"/>
      <c r="D15" s="18"/>
    </row>
    <row r="16" spans="1:4" x14ac:dyDescent="0.3">
      <c r="A16" s="18">
        <v>3.3</v>
      </c>
      <c r="B16" s="18">
        <v>3.3</v>
      </c>
      <c r="C16" s="18">
        <v>3.3</v>
      </c>
      <c r="D16" s="18">
        <v>3.3</v>
      </c>
    </row>
    <row r="17" spans="1:6" x14ac:dyDescent="0.3">
      <c r="A17" s="18">
        <v>3.6</v>
      </c>
      <c r="B17" s="18">
        <v>3.6</v>
      </c>
      <c r="C17" s="18">
        <f t="shared" ref="C17:C18" si="0">C18</f>
        <v>4.7</v>
      </c>
      <c r="D17" s="18"/>
    </row>
    <row r="18" spans="1:6" x14ac:dyDescent="0.3">
      <c r="A18" s="18">
        <v>3.9</v>
      </c>
      <c r="B18" s="18">
        <v>3.9</v>
      </c>
      <c r="C18" s="18">
        <f t="shared" si="0"/>
        <v>4.7</v>
      </c>
      <c r="D18" s="18"/>
    </row>
    <row r="19" spans="1:6" x14ac:dyDescent="0.3">
      <c r="A19" s="18">
        <v>4.3</v>
      </c>
      <c r="B19" s="18">
        <v>4.3</v>
      </c>
      <c r="C19" s="18">
        <f>C20</f>
        <v>4.7</v>
      </c>
      <c r="D19" s="18"/>
    </row>
    <row r="20" spans="1:6" x14ac:dyDescent="0.3">
      <c r="A20" s="18">
        <v>4.7</v>
      </c>
      <c r="B20" s="18">
        <v>4.7</v>
      </c>
      <c r="C20" s="18">
        <v>4.7</v>
      </c>
      <c r="D20" s="18">
        <v>4.7</v>
      </c>
    </row>
    <row r="21" spans="1:6" x14ac:dyDescent="0.3">
      <c r="A21" s="18">
        <v>5.0999999999999996</v>
      </c>
      <c r="B21" s="18">
        <v>5.0999999999999996</v>
      </c>
      <c r="C21" s="18">
        <f t="shared" ref="C21:C22" si="1">C22</f>
        <v>6.8</v>
      </c>
      <c r="D21" s="18"/>
    </row>
    <row r="22" spans="1:6" x14ac:dyDescent="0.3">
      <c r="A22" s="18">
        <v>5.6</v>
      </c>
      <c r="B22" s="18">
        <v>5.6</v>
      </c>
      <c r="C22" s="18">
        <f t="shared" si="1"/>
        <v>6.8</v>
      </c>
      <c r="D22" s="18"/>
    </row>
    <row r="23" spans="1:6" x14ac:dyDescent="0.3">
      <c r="A23" s="18">
        <v>6.2</v>
      </c>
      <c r="B23" s="18">
        <v>6.2</v>
      </c>
      <c r="C23" s="18">
        <f>C24</f>
        <v>6.8</v>
      </c>
      <c r="D23" s="18"/>
    </row>
    <row r="24" spans="1:6" x14ac:dyDescent="0.3">
      <c r="A24" s="18">
        <v>6.8</v>
      </c>
      <c r="B24" s="18">
        <v>6.8</v>
      </c>
      <c r="C24" s="18">
        <v>6.8</v>
      </c>
      <c r="D24" s="18">
        <v>6.8</v>
      </c>
    </row>
    <row r="25" spans="1:6" x14ac:dyDescent="0.3">
      <c r="A25" s="18">
        <v>7.5</v>
      </c>
      <c r="B25" s="18">
        <v>7.5</v>
      </c>
      <c r="C25" s="18">
        <f t="shared" ref="C25:C26" si="2">C26</f>
        <v>10</v>
      </c>
      <c r="D25" s="18"/>
    </row>
    <row r="26" spans="1:6" x14ac:dyDescent="0.3">
      <c r="A26" s="18">
        <v>8.1999999999999993</v>
      </c>
      <c r="B26" s="18">
        <v>8.1999999999999993</v>
      </c>
      <c r="C26" s="18">
        <f t="shared" si="2"/>
        <v>10</v>
      </c>
      <c r="D26" s="18"/>
    </row>
    <row r="27" spans="1:6" x14ac:dyDescent="0.3">
      <c r="A27" s="18">
        <v>9.1</v>
      </c>
      <c r="B27" s="18">
        <v>9.1</v>
      </c>
      <c r="C27" s="18">
        <f>C28</f>
        <v>10</v>
      </c>
      <c r="D27" s="18"/>
    </row>
    <row r="28" spans="1:6" x14ac:dyDescent="0.3">
      <c r="A28" s="18">
        <v>10</v>
      </c>
      <c r="B28" s="18">
        <v>10</v>
      </c>
      <c r="C28" s="18">
        <v>10</v>
      </c>
      <c r="D28" s="18">
        <v>10</v>
      </c>
    </row>
    <row r="29" spans="1:6" x14ac:dyDescent="0.3">
      <c r="A29" s="18">
        <v>11</v>
      </c>
      <c r="B29" s="18">
        <f t="shared" ref="B29:C30" si="3">B30</f>
        <v>15</v>
      </c>
      <c r="C29" s="18">
        <f t="shared" si="3"/>
        <v>15</v>
      </c>
      <c r="D29" s="18"/>
    </row>
    <row r="30" spans="1:6" x14ac:dyDescent="0.3">
      <c r="A30" s="18">
        <v>12</v>
      </c>
      <c r="B30" s="18">
        <f t="shared" si="3"/>
        <v>15</v>
      </c>
      <c r="C30" s="18">
        <f t="shared" si="3"/>
        <v>15</v>
      </c>
      <c r="D30" s="18"/>
    </row>
    <row r="31" spans="1:6" x14ac:dyDescent="0.3">
      <c r="A31" s="18">
        <v>13</v>
      </c>
      <c r="B31" s="18">
        <f>B32</f>
        <v>15</v>
      </c>
      <c r="C31" s="18">
        <f>C32</f>
        <v>15</v>
      </c>
      <c r="D31" s="18"/>
    </row>
    <row r="32" spans="1:6" x14ac:dyDescent="0.3">
      <c r="A32" s="18">
        <v>15</v>
      </c>
      <c r="B32" s="18">
        <v>15</v>
      </c>
      <c r="C32" s="18">
        <v>15</v>
      </c>
      <c r="D32" s="18"/>
      <c r="F32" s="20"/>
    </row>
    <row r="33" spans="1:4" x14ac:dyDescent="0.3">
      <c r="A33" s="18">
        <v>16</v>
      </c>
      <c r="B33" s="18">
        <f t="shared" ref="B33:C34" si="4">B34</f>
        <v>22</v>
      </c>
      <c r="C33" s="18">
        <f t="shared" si="4"/>
        <v>22</v>
      </c>
      <c r="D33" s="18"/>
    </row>
    <row r="34" spans="1:4" x14ac:dyDescent="0.3">
      <c r="A34" s="18">
        <v>18</v>
      </c>
      <c r="B34" s="18">
        <f t="shared" si="4"/>
        <v>22</v>
      </c>
      <c r="C34" s="18">
        <f t="shared" si="4"/>
        <v>22</v>
      </c>
      <c r="D34" s="18"/>
    </row>
    <row r="35" spans="1:4" x14ac:dyDescent="0.3">
      <c r="A35" s="18">
        <v>20</v>
      </c>
      <c r="B35" s="18">
        <f>B36</f>
        <v>22</v>
      </c>
      <c r="C35" s="18">
        <f>C36</f>
        <v>22</v>
      </c>
      <c r="D35" s="18"/>
    </row>
    <row r="36" spans="1:4" x14ac:dyDescent="0.3">
      <c r="A36" s="18">
        <v>22</v>
      </c>
      <c r="B36" s="18">
        <v>22</v>
      </c>
      <c r="C36" s="18">
        <v>22</v>
      </c>
      <c r="D36" s="18"/>
    </row>
    <row r="37" spans="1:4" x14ac:dyDescent="0.3">
      <c r="A37" s="18">
        <v>24</v>
      </c>
      <c r="B37" s="18">
        <f t="shared" ref="B37:C38" si="5">B38</f>
        <v>33</v>
      </c>
      <c r="C37" s="18">
        <f t="shared" si="5"/>
        <v>33</v>
      </c>
      <c r="D37" s="18"/>
    </row>
    <row r="38" spans="1:4" x14ac:dyDescent="0.3">
      <c r="A38" s="18">
        <v>27</v>
      </c>
      <c r="B38" s="18">
        <f t="shared" si="5"/>
        <v>33</v>
      </c>
      <c r="C38" s="18">
        <f t="shared" si="5"/>
        <v>33</v>
      </c>
      <c r="D38" s="18"/>
    </row>
    <row r="39" spans="1:4" x14ac:dyDescent="0.3">
      <c r="A39" s="18">
        <v>30</v>
      </c>
      <c r="B39" s="18">
        <f>B40</f>
        <v>33</v>
      </c>
      <c r="C39" s="18">
        <f>C40</f>
        <v>33</v>
      </c>
      <c r="D39" s="18"/>
    </row>
    <row r="40" spans="1:4" x14ac:dyDescent="0.3">
      <c r="A40" s="18">
        <v>33</v>
      </c>
      <c r="B40" s="18">
        <v>33</v>
      </c>
      <c r="C40" s="18">
        <v>33</v>
      </c>
      <c r="D40" s="18"/>
    </row>
    <row r="41" spans="1:4" x14ac:dyDescent="0.3">
      <c r="A41" s="18">
        <v>36</v>
      </c>
      <c r="B41" s="18">
        <f t="shared" ref="B41:C42" si="6">B42</f>
        <v>47</v>
      </c>
      <c r="C41" s="18">
        <f t="shared" si="6"/>
        <v>47</v>
      </c>
      <c r="D41" s="18"/>
    </row>
    <row r="42" spans="1:4" x14ac:dyDescent="0.3">
      <c r="A42" s="18">
        <v>39</v>
      </c>
      <c r="B42" s="18">
        <f t="shared" si="6"/>
        <v>47</v>
      </c>
      <c r="C42" s="18">
        <f t="shared" si="6"/>
        <v>47</v>
      </c>
      <c r="D42" s="18"/>
    </row>
    <row r="43" spans="1:4" x14ac:dyDescent="0.3">
      <c r="A43" s="18">
        <v>43</v>
      </c>
      <c r="B43" s="18">
        <f>B44</f>
        <v>47</v>
      </c>
      <c r="C43" s="18">
        <f>C44</f>
        <v>47</v>
      </c>
      <c r="D43" s="18"/>
    </row>
    <row r="44" spans="1:4" x14ac:dyDescent="0.3">
      <c r="A44" s="18">
        <v>47</v>
      </c>
      <c r="B44" s="18">
        <v>47</v>
      </c>
      <c r="C44" s="18">
        <v>47</v>
      </c>
      <c r="D44" s="18"/>
    </row>
    <row r="45" spans="1:4" x14ac:dyDescent="0.3">
      <c r="A45" s="18">
        <v>51</v>
      </c>
      <c r="B45" s="18">
        <f t="shared" ref="B45:C46" si="7">B46</f>
        <v>68</v>
      </c>
      <c r="C45" s="18">
        <f t="shared" si="7"/>
        <v>68</v>
      </c>
      <c r="D45" s="18"/>
    </row>
    <row r="46" spans="1:4" x14ac:dyDescent="0.3">
      <c r="A46" s="18">
        <v>56</v>
      </c>
      <c r="B46" s="18">
        <f t="shared" si="7"/>
        <v>68</v>
      </c>
      <c r="C46" s="18">
        <f t="shared" si="7"/>
        <v>68</v>
      </c>
      <c r="D46" s="18"/>
    </row>
    <row r="47" spans="1:4" x14ac:dyDescent="0.3">
      <c r="A47" s="18">
        <v>62</v>
      </c>
      <c r="B47" s="18">
        <f>B48</f>
        <v>68</v>
      </c>
      <c r="C47" s="18">
        <f>C48</f>
        <v>68</v>
      </c>
      <c r="D47" s="18"/>
    </row>
    <row r="48" spans="1:4" x14ac:dyDescent="0.3">
      <c r="A48" s="18">
        <v>68</v>
      </c>
      <c r="B48" s="18">
        <v>68</v>
      </c>
      <c r="C48" s="18">
        <v>68</v>
      </c>
      <c r="D48" s="18"/>
    </row>
    <row r="49" spans="1:4" x14ac:dyDescent="0.3">
      <c r="A49" s="18">
        <v>75</v>
      </c>
      <c r="B49" s="18">
        <f t="shared" ref="B49:C50" si="8">B50</f>
        <v>100</v>
      </c>
      <c r="C49" s="18">
        <f t="shared" si="8"/>
        <v>100</v>
      </c>
      <c r="D49" s="18"/>
    </row>
    <row r="50" spans="1:4" x14ac:dyDescent="0.3">
      <c r="A50" s="18">
        <v>82</v>
      </c>
      <c r="B50" s="18">
        <f t="shared" si="8"/>
        <v>100</v>
      </c>
      <c r="C50" s="18">
        <f t="shared" si="8"/>
        <v>100</v>
      </c>
      <c r="D50" s="18"/>
    </row>
    <row r="51" spans="1:4" x14ac:dyDescent="0.3">
      <c r="A51" s="18">
        <v>91</v>
      </c>
      <c r="B51" s="18">
        <f>B52</f>
        <v>100</v>
      </c>
      <c r="C51" s="18">
        <f>C52</f>
        <v>100</v>
      </c>
      <c r="D51" s="18"/>
    </row>
    <row r="52" spans="1:4" x14ac:dyDescent="0.3">
      <c r="A52" s="18">
        <v>100</v>
      </c>
      <c r="B52" s="18">
        <v>100</v>
      </c>
      <c r="C52" s="18">
        <v>100</v>
      </c>
    </row>
    <row r="53" spans="1:4" x14ac:dyDescent="0.3">
      <c r="A53" s="18">
        <v>110</v>
      </c>
      <c r="B53" s="18">
        <f t="shared" ref="B53:C54" si="9">B54</f>
        <v>150</v>
      </c>
      <c r="C53" s="18">
        <f t="shared" si="9"/>
        <v>150</v>
      </c>
    </row>
    <row r="54" spans="1:4" x14ac:dyDescent="0.3">
      <c r="A54" s="18">
        <v>120</v>
      </c>
      <c r="B54" s="18">
        <f t="shared" si="9"/>
        <v>150</v>
      </c>
      <c r="C54" s="18">
        <f t="shared" si="9"/>
        <v>150</v>
      </c>
    </row>
    <row r="55" spans="1:4" x14ac:dyDescent="0.3">
      <c r="A55" s="18">
        <v>130</v>
      </c>
      <c r="B55" s="18">
        <f>B56</f>
        <v>150</v>
      </c>
      <c r="C55" s="18">
        <f>C56</f>
        <v>150</v>
      </c>
    </row>
    <row r="56" spans="1:4" x14ac:dyDescent="0.3">
      <c r="A56" s="18">
        <v>150</v>
      </c>
      <c r="B56" s="18">
        <v>150</v>
      </c>
      <c r="C56" s="18">
        <v>150</v>
      </c>
    </row>
    <row r="57" spans="1:4" x14ac:dyDescent="0.3">
      <c r="A57" s="18">
        <v>160</v>
      </c>
      <c r="B57" s="18">
        <f t="shared" ref="B57:C58" si="10">B58</f>
        <v>220</v>
      </c>
      <c r="C57" s="18">
        <f t="shared" si="10"/>
        <v>220</v>
      </c>
    </row>
    <row r="58" spans="1:4" x14ac:dyDescent="0.3">
      <c r="A58" s="18">
        <v>180</v>
      </c>
      <c r="B58" s="18">
        <f t="shared" si="10"/>
        <v>220</v>
      </c>
      <c r="C58" s="18">
        <f t="shared" si="10"/>
        <v>220</v>
      </c>
    </row>
    <row r="59" spans="1:4" x14ac:dyDescent="0.3">
      <c r="A59" s="18">
        <v>200</v>
      </c>
      <c r="B59" s="18">
        <f>B60</f>
        <v>220</v>
      </c>
      <c r="C59" s="18">
        <f>C60</f>
        <v>220</v>
      </c>
    </row>
    <row r="60" spans="1:4" x14ac:dyDescent="0.3">
      <c r="A60" s="18">
        <v>220</v>
      </c>
      <c r="B60" s="18">
        <v>220</v>
      </c>
      <c r="C60" s="18">
        <v>220</v>
      </c>
    </row>
    <row r="61" spans="1:4" x14ac:dyDescent="0.3">
      <c r="A61" s="18">
        <v>240</v>
      </c>
      <c r="B61" s="18">
        <f t="shared" ref="B61:C62" si="11">B62</f>
        <v>330</v>
      </c>
      <c r="C61" s="18">
        <f t="shared" si="11"/>
        <v>330</v>
      </c>
    </row>
    <row r="62" spans="1:4" x14ac:dyDescent="0.3">
      <c r="A62" s="18">
        <v>270</v>
      </c>
      <c r="B62" s="18">
        <f t="shared" si="11"/>
        <v>330</v>
      </c>
      <c r="C62" s="18">
        <f t="shared" si="11"/>
        <v>330</v>
      </c>
    </row>
    <row r="63" spans="1:4" x14ac:dyDescent="0.3">
      <c r="A63" s="18">
        <v>300</v>
      </c>
      <c r="B63" s="18">
        <f>B64</f>
        <v>330</v>
      </c>
      <c r="C63" s="18">
        <f>C64</f>
        <v>330</v>
      </c>
    </row>
    <row r="64" spans="1:4" x14ac:dyDescent="0.3">
      <c r="A64" s="18">
        <v>330</v>
      </c>
      <c r="B64" s="18">
        <v>330</v>
      </c>
      <c r="C64" s="18">
        <v>330</v>
      </c>
    </row>
    <row r="65" spans="1:3" x14ac:dyDescent="0.3">
      <c r="A65" s="18">
        <v>360</v>
      </c>
      <c r="B65" s="18">
        <f t="shared" ref="B65:C66" si="12">B66</f>
        <v>470</v>
      </c>
      <c r="C65" s="18">
        <f t="shared" si="12"/>
        <v>470</v>
      </c>
    </row>
    <row r="66" spans="1:3" x14ac:dyDescent="0.3">
      <c r="A66" s="18">
        <v>390</v>
      </c>
      <c r="B66" s="18">
        <f t="shared" si="12"/>
        <v>470</v>
      </c>
      <c r="C66" s="18">
        <f t="shared" si="12"/>
        <v>470</v>
      </c>
    </row>
    <row r="67" spans="1:3" x14ac:dyDescent="0.3">
      <c r="A67" s="18">
        <v>430</v>
      </c>
      <c r="B67" s="18">
        <f>B68</f>
        <v>470</v>
      </c>
      <c r="C67" s="18">
        <f>C68</f>
        <v>470</v>
      </c>
    </row>
    <row r="68" spans="1:3" x14ac:dyDescent="0.3">
      <c r="A68" s="18">
        <v>470</v>
      </c>
      <c r="B68" s="18">
        <v>470</v>
      </c>
      <c r="C68" s="18">
        <v>470</v>
      </c>
    </row>
    <row r="69" spans="1:3" x14ac:dyDescent="0.3">
      <c r="A69" s="18">
        <v>510</v>
      </c>
      <c r="B69" s="18">
        <f t="shared" ref="B69:C70" si="13">B70</f>
        <v>680</v>
      </c>
      <c r="C69" s="18">
        <f t="shared" si="13"/>
        <v>680</v>
      </c>
    </row>
    <row r="70" spans="1:3" x14ac:dyDescent="0.3">
      <c r="A70" s="18">
        <v>560</v>
      </c>
      <c r="B70" s="18">
        <f t="shared" si="13"/>
        <v>680</v>
      </c>
      <c r="C70" s="18">
        <f t="shared" si="13"/>
        <v>680</v>
      </c>
    </row>
    <row r="71" spans="1:3" x14ac:dyDescent="0.3">
      <c r="A71" s="18">
        <v>620</v>
      </c>
      <c r="B71" s="18">
        <f>B72</f>
        <v>680</v>
      </c>
      <c r="C71" s="18">
        <f>C72</f>
        <v>680</v>
      </c>
    </row>
    <row r="72" spans="1:3" x14ac:dyDescent="0.3">
      <c r="A72" s="18">
        <v>680</v>
      </c>
      <c r="B72" s="18">
        <v>680</v>
      </c>
      <c r="C72" s="18">
        <v>680</v>
      </c>
    </row>
    <row r="73" spans="1:3" x14ac:dyDescent="0.3">
      <c r="A73" s="18">
        <v>750</v>
      </c>
      <c r="B73" s="18">
        <f>B74</f>
        <v>1000</v>
      </c>
      <c r="C73" s="18">
        <f>C74</f>
        <v>1000</v>
      </c>
    </row>
    <row r="74" spans="1:3" x14ac:dyDescent="0.3">
      <c r="A74" s="18">
        <v>820</v>
      </c>
      <c r="B74" s="18">
        <f>B75</f>
        <v>1000</v>
      </c>
      <c r="C74" s="18">
        <f>C75</f>
        <v>1000</v>
      </c>
    </row>
    <row r="75" spans="1:3" x14ac:dyDescent="0.3">
      <c r="A75" s="18">
        <v>910</v>
      </c>
      <c r="B75" s="18">
        <v>1000</v>
      </c>
      <c r="C75" s="18">
        <v>1000</v>
      </c>
    </row>
  </sheetData>
  <sheetProtection sheet="1" objects="1" scenarios="1"/>
  <hyperlinks>
    <hyperlink ref="A1:B1" r:id="rId1" display="Standard Capacitor Values" xr:uid="{00000000-0004-0000-03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Calculation Sheet</vt:lpstr>
      <vt:lpstr>Thermal Shutdown Limit Plot</vt:lpstr>
      <vt:lpstr>Res EIA Tables</vt:lpstr>
      <vt:lpstr>Cap Tables</vt:lpstr>
      <vt:lpstr>Cdvdt_ext</vt:lpstr>
      <vt:lpstr>Cdvdt_ext_cal1</vt:lpstr>
      <vt:lpstr>Cext</vt:lpstr>
      <vt:lpstr>Cext_dvdt_cal2</vt:lpstr>
      <vt:lpstr>Cexttol</vt:lpstr>
      <vt:lpstr>Cout</vt:lpstr>
      <vt:lpstr>Ctot</vt:lpstr>
      <vt:lpstr>Gain_dvdt</vt:lpstr>
      <vt:lpstr>GainCdvdt</vt:lpstr>
      <vt:lpstr>I_dvdt</vt:lpstr>
      <vt:lpstr>Icharge</vt:lpstr>
      <vt:lpstr>Icharge_req</vt:lpstr>
      <vt:lpstr>Ilimit</vt:lpstr>
      <vt:lpstr>Ilimit_final</vt:lpstr>
      <vt:lpstr>Ilimit_offset</vt:lpstr>
      <vt:lpstr>Ilimit_vset</vt:lpstr>
      <vt:lpstr>Imax</vt:lpstr>
      <vt:lpstr>Rdson_125deg</vt:lpstr>
      <vt:lpstr>Rdson_25deg</vt:lpstr>
      <vt:lpstr>Rilim</vt:lpstr>
      <vt:lpstr>Rlimit</vt:lpstr>
      <vt:lpstr>Rlstart</vt:lpstr>
      <vt:lpstr>RpUVLO</vt:lpstr>
      <vt:lpstr>Tch</vt:lpstr>
      <vt:lpstr>Tchg_dvdt</vt:lpstr>
      <vt:lpstr>Tchg_req</vt:lpstr>
      <vt:lpstr>Tchmin</vt:lpstr>
      <vt:lpstr>Tj_max</vt:lpstr>
      <vt:lpstr>UVref</vt:lpstr>
      <vt:lpstr>UVset</vt:lpstr>
      <vt:lpstr>Vcc_max</vt:lpstr>
      <vt:lpstr>Vsys</vt:lpstr>
    </vt:vector>
  </TitlesOfParts>
  <Company>Texas Instruments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vishal.gupta@ti.com</dc:creator>
  <cp:lastModifiedBy>Gupta, Arush</cp:lastModifiedBy>
  <cp:lastPrinted>2013-06-05T10:58:25Z</cp:lastPrinted>
  <dcterms:created xsi:type="dcterms:W3CDTF">2013-05-30T14:28:05Z</dcterms:created>
  <dcterms:modified xsi:type="dcterms:W3CDTF">2025-02-24T07:58:53Z</dcterms:modified>
</cp:coreProperties>
</file>