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A0486596\Documents\Critical Experiments\ParallelLDO\"/>
    </mc:Choice>
  </mc:AlternateContent>
  <xr:revisionPtr revIDLastSave="0" documentId="13_ncr:1_{99505F47-5CC2-4548-97EA-87CAA42FFBFA}" xr6:coauthVersionLast="47" xr6:coauthVersionMax="47" xr10:uidLastSave="{00000000-0000-0000-0000-000000000000}"/>
  <workbookProtection workbookAlgorithmName="SHA-512" workbookHashValue="5uj8P7fnUy++ouQFe+Kswhas5M6TnXenmQxQ8RBK9u6Ln77ZbBcsFmlhz0hbDOS2Zv268L3Sm4+NcaMXbmXylg==" workbookSaltValue="iSXhSqmcdjyhYOJs9BfWnA==" workbookSpinCount="100000" lockStructure="1"/>
  <bookViews>
    <workbookView xWindow="-120" yWindow="-120" windowWidth="29040" windowHeight="15720" tabRatio="649" activeTab="1" xr2:uid="{AEB2D6DD-51B8-487E-8D73-728D3C60AB43}"/>
  </bookViews>
  <sheets>
    <sheet name="Instructions" sheetId="8" r:id="rId1"/>
    <sheet name="Parallel LDO Calculator" sheetId="1" r:id="rId2"/>
    <sheet name="Error Voltage Calculator" sheetId="12" r:id="rId3"/>
    <sheet name="LookupTables" sheetId="11" state="hidden" r:id="rId4"/>
    <sheet name="About" sheetId="9" r:id="rId5"/>
    <sheet name="Help"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7" i="11" l="1"/>
  <c r="AC15" i="11"/>
  <c r="D17" i="11"/>
  <c r="D14" i="11"/>
  <c r="C17" i="11"/>
  <c r="AB17" i="11"/>
  <c r="AA17" i="11"/>
  <c r="AB15" i="11"/>
  <c r="AA15" i="11"/>
  <c r="Y17" i="11"/>
  <c r="X17" i="11"/>
  <c r="W17" i="11"/>
  <c r="J17" i="11" l="1"/>
  <c r="J15" i="11"/>
  <c r="S16" i="11" l="1"/>
  <c r="T16" i="11" s="1"/>
  <c r="S15" i="11"/>
  <c r="T15" i="11"/>
  <c r="R15" i="11"/>
  <c r="R17" i="11"/>
  <c r="S17" i="11"/>
  <c r="T17" i="11"/>
  <c r="AH17" i="11" l="1"/>
  <c r="P17" i="11"/>
  <c r="N17" i="11"/>
  <c r="L17" i="11"/>
  <c r="F34" i="1" l="1"/>
  <c r="F32" i="1"/>
  <c r="F31" i="1"/>
  <c r="F30" i="1"/>
  <c r="D34" i="1"/>
  <c r="D32" i="1"/>
  <c r="D31" i="1"/>
  <c r="D30" i="1"/>
  <c r="D16" i="1"/>
  <c r="B58" i="1" l="1"/>
  <c r="E17" i="11" l="1"/>
  <c r="E14" i="11"/>
  <c r="V15" i="11"/>
  <c r="B57" i="1" l="1"/>
  <c r="C27" i="1" l="1"/>
  <c r="C26" i="1"/>
  <c r="C34" i="1" s="1"/>
  <c r="C24" i="1"/>
  <c r="C23" i="1"/>
  <c r="C22" i="1"/>
  <c r="C21" i="1"/>
  <c r="C20" i="1"/>
  <c r="C16" i="1"/>
  <c r="U15" i="11"/>
  <c r="G17" i="11"/>
  <c r="H17" i="11"/>
  <c r="I17" i="11"/>
  <c r="Q17" i="11" l="1"/>
  <c r="O17" i="11"/>
  <c r="M17" i="11"/>
  <c r="C7" i="1" l="1"/>
  <c r="C8" i="1"/>
  <c r="C31" i="1" l="1"/>
  <c r="C17" i="12" s="1"/>
  <c r="C15" i="1"/>
  <c r="C13" i="1"/>
  <c r="C12" i="1"/>
  <c r="C11" i="1"/>
  <c r="C16" i="12" l="1"/>
  <c r="F15" i="11"/>
  <c r="K15" i="11"/>
  <c r="C25" i="1" s="1"/>
  <c r="C35" i="1" l="1"/>
  <c r="C33" i="1"/>
  <c r="C30" i="1"/>
  <c r="B50" i="1" s="1"/>
  <c r="C29" i="1"/>
  <c r="C28" i="1"/>
  <c r="F14" i="11"/>
  <c r="C32" i="1" s="1"/>
  <c r="C14" i="1" l="1"/>
  <c r="C37" i="1" s="1"/>
  <c r="C10" i="1"/>
  <c r="C9" i="1"/>
  <c r="B49" i="1" l="1"/>
  <c r="C53" i="1" l="1"/>
  <c r="C52" i="1"/>
  <c r="C38" i="1" l="1"/>
  <c r="C39" i="1" l="1"/>
  <c r="C51" i="1"/>
  <c r="C56" i="1" s="1"/>
  <c r="C44" i="1"/>
  <c r="C55" i="1" l="1"/>
  <c r="C40" i="1" s="1"/>
  <c r="C41" i="1" l="1"/>
  <c r="C45" i="1" l="1"/>
  <c r="C46" i="1"/>
  <c r="C48" i="1" l="1"/>
</calcChain>
</file>

<file path=xl/sharedStrings.xml><?xml version="1.0" encoding="utf-8"?>
<sst xmlns="http://schemas.openxmlformats.org/spreadsheetml/2006/main" count="253" uniqueCount="159">
  <si>
    <t>LDO Maximum Current</t>
  </si>
  <si>
    <t>Units</t>
  </si>
  <si>
    <t>Vdc</t>
  </si>
  <si>
    <t>A</t>
  </si>
  <si>
    <t>°C</t>
  </si>
  <si>
    <t>mVdc</t>
  </si>
  <si>
    <t>Allowable increase in load regulation</t>
  </si>
  <si>
    <t>N =</t>
  </si>
  <si>
    <t>LDO Specifications</t>
  </si>
  <si>
    <t>Value</t>
  </si>
  <si>
    <t>Parallel LDO System Requirements</t>
  </si>
  <si>
    <t>System Noise Requirement</t>
  </si>
  <si>
    <t>Dropout voltage at maximum current:</t>
  </si>
  <si>
    <t>°C / W</t>
  </si>
  <si>
    <t>LDO Noise Specification (10 Hz - 100 kHz)</t>
  </si>
  <si>
    <t>Total System Load:</t>
  </si>
  <si>
    <t>Parameter</t>
  </si>
  <si>
    <r>
      <t>V</t>
    </r>
    <r>
      <rPr>
        <vertAlign val="subscript"/>
        <sz val="11"/>
        <color theme="1"/>
        <rFont val="Calibri"/>
        <family val="2"/>
        <scheme val="minor"/>
      </rPr>
      <t>E</t>
    </r>
    <r>
      <rPr>
        <sz val="11"/>
        <color theme="1"/>
        <rFont val="Calibri"/>
        <family val="2"/>
        <scheme val="minor"/>
      </rPr>
      <t>, high</t>
    </r>
  </si>
  <si>
    <r>
      <t>V</t>
    </r>
    <r>
      <rPr>
        <vertAlign val="subscript"/>
        <sz val="11"/>
        <color theme="1"/>
        <rFont val="Calibri"/>
        <family val="2"/>
        <scheme val="minor"/>
      </rPr>
      <t>E</t>
    </r>
    <r>
      <rPr>
        <sz val="11"/>
        <color theme="1"/>
        <rFont val="Calibri"/>
        <family val="2"/>
        <scheme val="minor"/>
      </rPr>
      <t>, low</t>
    </r>
  </si>
  <si>
    <r>
      <t>Thermal Impedance T</t>
    </r>
    <r>
      <rPr>
        <vertAlign val="subscript"/>
        <sz val="11"/>
        <color theme="1"/>
        <rFont val="Calibri"/>
        <family val="2"/>
        <scheme val="minor"/>
      </rPr>
      <t>JA</t>
    </r>
  </si>
  <si>
    <r>
      <t>T</t>
    </r>
    <r>
      <rPr>
        <vertAlign val="subscript"/>
        <sz val="11"/>
        <color theme="1"/>
        <rFont val="Calibri"/>
        <family val="2"/>
        <scheme val="minor"/>
      </rPr>
      <t>A</t>
    </r>
  </si>
  <si>
    <r>
      <t>V</t>
    </r>
    <r>
      <rPr>
        <vertAlign val="subscript"/>
        <sz val="11"/>
        <color theme="1"/>
        <rFont val="Calibri"/>
        <family val="2"/>
        <scheme val="minor"/>
      </rPr>
      <t>IN</t>
    </r>
  </si>
  <si>
    <r>
      <t>V</t>
    </r>
    <r>
      <rPr>
        <vertAlign val="subscript"/>
        <sz val="11"/>
        <color theme="1"/>
        <rFont val="Calibri"/>
        <family val="2"/>
        <scheme val="minor"/>
      </rPr>
      <t>OUT</t>
    </r>
  </si>
  <si>
    <r>
      <t>Maximum T</t>
    </r>
    <r>
      <rPr>
        <vertAlign val="subscript"/>
        <sz val="11"/>
        <color theme="1"/>
        <rFont val="Calibri"/>
        <family val="2"/>
        <scheme val="minor"/>
      </rPr>
      <t>J</t>
    </r>
    <r>
      <rPr>
        <sz val="11"/>
        <color theme="1"/>
        <rFont val="Calibri"/>
        <family val="2"/>
        <scheme val="minor"/>
      </rPr>
      <t xml:space="preserve"> per LDO</t>
    </r>
  </si>
  <si>
    <t>mΩ</t>
  </si>
  <si>
    <t>Ballast Resistance Selected</t>
  </si>
  <si>
    <t>Minimum number of parallel LDO's required:</t>
  </si>
  <si>
    <t>Maximum current per LDO (Tj limitation)</t>
  </si>
  <si>
    <t>Maximum current per LDO (dropout limitation)</t>
  </si>
  <si>
    <t>This calculator assumes the same LDO IC, ballast resistor, and output voltage is used for all LDO's in parallel</t>
  </si>
  <si>
    <t>µVrms</t>
  </si>
  <si>
    <t>1. meet the system noise requirement</t>
  </si>
  <si>
    <t>2. meet the load regulation requirement</t>
  </si>
  <si>
    <t>3. deliver the system load current</t>
  </si>
  <si>
    <t>Maximum current imbalance per LDO</t>
  </si>
  <si>
    <t>Optimum Ballast Resistance</t>
  </si>
  <si>
    <t>a</t>
  </si>
  <si>
    <t>b</t>
  </si>
  <si>
    <t>c</t>
  </si>
  <si>
    <t>Rb</t>
  </si>
  <si>
    <t>Minimum Ballast Resistance needed</t>
  </si>
  <si>
    <t>xxx</t>
  </si>
  <si>
    <t>Disclaimer:</t>
  </si>
  <si>
    <t>This information is provided as-is and untested. Consider the calculator results to be design guidelines requiring proper verification. Further optimization may be required in the final design</t>
  </si>
  <si>
    <t>Purpose:</t>
  </si>
  <si>
    <t>Instructions:</t>
  </si>
  <si>
    <t>Version Number</t>
  </si>
  <si>
    <t>1.0.0</t>
  </si>
  <si>
    <t>Created by</t>
  </si>
  <si>
    <t>Version History</t>
  </si>
  <si>
    <t>Version</t>
  </si>
  <si>
    <t>Change List Description</t>
  </si>
  <si>
    <t>Initial Release</t>
  </si>
  <si>
    <t>Getting Started with this tool ?</t>
  </si>
  <si>
    <t>1. Go to the "Instructions" tab to understand how to use this tool</t>
  </si>
  <si>
    <t>Link:</t>
  </si>
  <si>
    <t>How to use this tool</t>
  </si>
  <si>
    <t>Stephen Ziel</t>
  </si>
  <si>
    <t>2. Enter the system power requirements for the parallel LDO's under the "Parallel LDO System Requirements" header.</t>
  </si>
  <si>
    <t>a. In this scenario, the error of the LDO is worse than the allowable load regulation increase.</t>
  </si>
  <si>
    <t>b. The user must revise their data entries.  They can do this by lowering the error voltage within the "LDO Specifications" section, selecting an LDO with less error voltage, or increasing the allowable load regulation in the system requirements.</t>
  </si>
  <si>
    <t>How the Parallel LDO Calculator works:</t>
  </si>
  <si>
    <t>1. Enter the datasheet specifications for the LDO being paralleled under the "LDO Specifications" header.</t>
  </si>
  <si>
    <t>Note: All user inputs are highlighted in yellow.  All calculator outputs are highlighted in blue.</t>
  </si>
  <si>
    <t>For any futher assistance on this tool, please post your question in the following forum - E2E Power Management Group Forum</t>
  </si>
  <si>
    <t>TPS7A47xx</t>
  </si>
  <si>
    <t>TPS7A57</t>
  </si>
  <si>
    <t>TPS7A94</t>
  </si>
  <si>
    <t>Optional User Entry</t>
  </si>
  <si>
    <t>Additional Resources</t>
  </si>
  <si>
    <t>1. Read the technical white paper where the equations in this tool were developed</t>
  </si>
  <si>
    <t>2. Read the comprehensive white paper on how to parallel LDOs using ballast resistors</t>
  </si>
  <si>
    <t>Scalable, High-Current, Low-Noise Parallel LDO</t>
  </si>
  <si>
    <t>Tip: Copies of this reference design are available for purchase if additional evaluation is desired</t>
  </si>
  <si>
    <t>System Noise Requirement (10 Hz - 100 kHz)</t>
  </si>
  <si>
    <t>Additional Resources:</t>
  </si>
  <si>
    <t>Allowable load regulation</t>
  </si>
  <si>
    <t>Not included: Abs Max voltage assessment or DC setpoint analysis</t>
  </si>
  <si>
    <t>Definitions</t>
  </si>
  <si>
    <t xml:space="preserve">    Load Regulation: A measure of the parallel LDO's ability to maintain the specified output voltage under varying load conditions.  Load regulation is measured at the output of the ballast resistors with respect to the parallel LDO GND.</t>
  </si>
  <si>
    <t>Current imbalance: A measure of the difference in output current from one LDO to the next LDO in the parallel LDO system.</t>
  </si>
  <si>
    <r>
      <t xml:space="preserve">From the </t>
    </r>
    <r>
      <rPr>
        <b/>
        <sz val="11"/>
        <color theme="1"/>
        <rFont val="Calibri"/>
        <family val="2"/>
        <scheme val="minor"/>
      </rPr>
      <t>Parallel LDO Calculator</t>
    </r>
    <r>
      <rPr>
        <sz val="11"/>
        <color theme="1"/>
        <rFont val="Calibri"/>
        <family val="2"/>
        <scheme val="minor"/>
      </rPr>
      <t xml:space="preserve"> tab:</t>
    </r>
  </si>
  <si>
    <t>a. If a system power requirement is not needed, leave it as the default value to ensure it will not impact the number of parallel LDOs required.</t>
  </si>
  <si>
    <t xml:space="preserve">3. With the LDO datasheet parameters and system power requirements entered, the final step is to review and select a ballast resistance.  Increasing the ballast resistance narrows the current imbalance  between LDOs but increases the load regulation, while decreasing the ballast resistance </t>
  </si>
  <si>
    <t xml:space="preserve">       widens the current imbalance of the LDOs while decreasing the load regulation.  For additional details please refer to the additional resources listed at the bottom of this instructions tab.</t>
  </si>
  <si>
    <t>4. The minimum number of parallel LDO's required to meet the system power requirements is displayed at the bottom.</t>
  </si>
  <si>
    <t>5. If the user enters an "allowable load regulation" which is less than the minimum error voltage entered under the "LDO Specifications" header, an error message appears at the bottom of the calculator</t>
  </si>
  <si>
    <t>The formula's developed in this calculator assume that the LDO's are paralleled using ballast resistors, and the same output voltage, LDO IC and ballast resistance is used for each paralleled LDO.  All results are based on worst case analysis.
The value of ballast resistance impacts the system load current and load voltage in opposite directions.  More ballast resistance improves the current imbalance of each LDO, allowing fewer parallel LDO's to meet a system load current requirement.  Less ballast resistance improves the load voltage of the parallel LDO's, allowing fewer parallel LDO's to meet a system load voltage requirement.  An optimum ballast resistance can be determined which minimizes the number of parallel LDO's required to meet both the load current and load voltage requirements.  This calculator automatically determines the optimum ballast resistance necessary to meet both the load voltage and load current system requirements while simultaneously minimizing the number of parallel LDOs in the system.</t>
  </si>
  <si>
    <t>2. "Parallel LDO Architecture Design Using Ballast Resistors" technical white paper</t>
  </si>
  <si>
    <t>1. "Comprehensive Analysis and Universal Equations for Parallel LDO's Using Ballast Resistors" technical white paper</t>
  </si>
  <si>
    <t>Comprehensive Analysis and Universal Equations for Parallel LDO's Using Ballast Resistors</t>
  </si>
  <si>
    <t>Parallel LDO Architecture Design Using Ballast Resistors</t>
  </si>
  <si>
    <t>TPS7A8401A</t>
  </si>
  <si>
    <t>1.0.1</t>
  </si>
  <si>
    <t>Added TPS7A8401A, corrected equations in cells C9, C10 and C33 in the "Parallel LDO Calculator" tab</t>
  </si>
  <si>
    <t>Corrected thermal impedance link</t>
  </si>
  <si>
    <t>1.0.2</t>
  </si>
  <si>
    <t>TPS7A8301A</t>
  </si>
  <si>
    <t>TPS7A33</t>
  </si>
  <si>
    <t>TPS7A8501A</t>
  </si>
  <si>
    <t>User Entry</t>
  </si>
  <si>
    <r>
      <t>V</t>
    </r>
    <r>
      <rPr>
        <vertAlign val="subscript"/>
        <sz val="11"/>
        <color theme="1"/>
        <rFont val="Calibri"/>
        <family val="2"/>
        <scheme val="minor"/>
      </rPr>
      <t>REF</t>
    </r>
  </si>
  <si>
    <t>Error Voltage Calculator</t>
  </si>
  <si>
    <t>Comments</t>
  </si>
  <si>
    <t>New error voltage (high)</t>
  </si>
  <si>
    <t>New error voltage (low)</t>
  </si>
  <si>
    <r>
      <t>Use this to calculate ±V</t>
    </r>
    <r>
      <rPr>
        <vertAlign val="subscript"/>
        <sz val="11"/>
        <color theme="1"/>
        <rFont val="Calibri"/>
        <family val="2"/>
        <scheme val="minor"/>
      </rPr>
      <t>E</t>
    </r>
    <r>
      <rPr>
        <sz val="11"/>
        <color theme="1"/>
        <rFont val="Calibri"/>
        <family val="2"/>
        <scheme val="minor"/>
      </rPr>
      <t xml:space="preserve"> when the parallel LDOs include feedback resistors.</t>
    </r>
  </si>
  <si>
    <r>
      <t>R</t>
    </r>
    <r>
      <rPr>
        <vertAlign val="subscript"/>
        <sz val="11"/>
        <color theme="1"/>
        <rFont val="Calibri"/>
        <family val="2"/>
        <scheme val="minor"/>
      </rPr>
      <t>TOP</t>
    </r>
  </si>
  <si>
    <r>
      <t>R</t>
    </r>
    <r>
      <rPr>
        <vertAlign val="subscript"/>
        <sz val="11"/>
        <color theme="1"/>
        <rFont val="Calibri"/>
        <family val="2"/>
        <scheme val="minor"/>
      </rPr>
      <t>BOTTOM</t>
    </r>
  </si>
  <si>
    <t>Nominal setpoint resistor (Vout to Vfb)</t>
  </si>
  <si>
    <t>Nominal setpoint resistor (Vfb to GND)</t>
  </si>
  <si>
    <t>Rtop resistor tolerance</t>
  </si>
  <si>
    <t>Rbottom resistor tolerance</t>
  </si>
  <si>
    <r>
      <t>R</t>
    </r>
    <r>
      <rPr>
        <vertAlign val="subscript"/>
        <sz val="11"/>
        <color theme="1"/>
        <rFont val="Calibri"/>
        <family val="2"/>
        <scheme val="minor"/>
      </rPr>
      <t>BOTTOM, TOL</t>
    </r>
  </si>
  <si>
    <r>
      <t>R</t>
    </r>
    <r>
      <rPr>
        <vertAlign val="subscript"/>
        <sz val="11"/>
        <color theme="1"/>
        <rFont val="Calibri"/>
        <family val="2"/>
        <scheme val="minor"/>
      </rPr>
      <t>TOP, TOL</t>
    </r>
  </si>
  <si>
    <t>Ω</t>
  </si>
  <si>
    <t>%</t>
  </si>
  <si>
    <t>TPS7A52</t>
  </si>
  <si>
    <t>TPS7A53</t>
  </si>
  <si>
    <t>TPS7A54</t>
  </si>
  <si>
    <t>TPS7B7702</t>
  </si>
  <si>
    <t>NA</t>
  </si>
  <si>
    <t>2.0.0</t>
  </si>
  <si>
    <t>Added TPS7A33, TPS7A52, TPS7A53, TPS7A54, TPS7A83A, TPS7A85A, and TPS7B7702. Corrected current limit typo of TPS7A84A. Added setpoint calculation feature to quickly calculate the error voltage for LDOs without unity gain feedback.</t>
  </si>
  <si>
    <t>TPS7A96</t>
  </si>
  <si>
    <t>TPS7A4501-SP</t>
  </si>
  <si>
    <t>TPS7H1210-SEP</t>
  </si>
  <si>
    <t>TPS7H1111-SP</t>
  </si>
  <si>
    <t>TPS7H1111-SEP</t>
  </si>
  <si>
    <t>2.0.1</t>
  </si>
  <si>
    <t>TPS7A84</t>
  </si>
  <si>
    <t>TPS7A85</t>
  </si>
  <si>
    <t>TPS7A8300</t>
  </si>
  <si>
    <t>Added the following LDOs: TPS7A8300, TPS7A84, TPS7A85, TPS7A96, TPS7A4501-SP, TPS7H1111-SP, TPS7H1111-SEP</t>
  </si>
  <si>
    <t>2.0.2</t>
  </si>
  <si>
    <t>Corrected "Error Voltage Calculator". Rtop,tol and Rbottom,tol were divided by 1000 instead of 100 in the formulas. This has been corrected.</t>
  </si>
  <si>
    <t xml:space="preserve">   Error voltage (Ve): The difference between the expected and actual output voltage of the LDO. When parallel LDO’s share the same voltage reference, the expected output voltage is simply the reference voltage (including reference voltage tolerance) gained up by the (ideal) feedback 
   resistors.  In addition to the reference voltage, the actual output voltage of each LDO depends on the offset voltage, load regulation, line regulation, feedback pin bias current, feedback resistors and feedback resistor tolerances.</t>
  </si>
  <si>
    <t>TPS7A90</t>
  </si>
  <si>
    <t>TPS7A91</t>
  </si>
  <si>
    <t>TPS7A92</t>
  </si>
  <si>
    <t>2.0.3</t>
  </si>
  <si>
    <t>Added the following LDOs: TPS7A90, TPS7A91, TPS7A92</t>
  </si>
  <si>
    <t>TPC7C023</t>
  </si>
  <si>
    <t>TPS7A56</t>
  </si>
  <si>
    <t>TPS7B4253-Q1</t>
  </si>
  <si>
    <t>TPS7B4260-Q1</t>
  </si>
  <si>
    <t>TPS7B4261-Q1</t>
  </si>
  <si>
    <t>TPS7N59</t>
  </si>
  <si>
    <t>TPS7A45</t>
  </si>
  <si>
    <t>2.0.4</t>
  </si>
  <si>
    <t>Added the following LDOs: TPS7A45, TPS7A56, TPS7B4253-Q1, TPS7B4260-Q1, TPS7B4261-Q1, TPS7N59.</t>
  </si>
  <si>
    <t>The purpose of this calculator is to determine how many parallel LDO's are required to meet a set of system power requirements and to select a ballast resistance.  Examples are provided for common LDO's: TPS7A33, TPS7A45, TPS7A4501-SP, TPS7A47xx, TPS7A52, TPS7A53, TPS7A54, TPS7A56, TPS7A57, TPS7A8300, TPS7A8301A, TPS7A84, TPS7A8401A, TPS7A85, TPS7A8501A, TPS7A90, TPS7A91, TPS7A92, TPS7A94, TPS7A96, TPS7B4253-Q1, TPS7B4260-Q1, TPS7B4261-Q1, TPS7B7702, TPS7H1111-SP, TPS7H1111-SEP, TPS7N59.</t>
  </si>
  <si>
    <t>3. "Reduce System Noise Using Parallel LDOs" technical white paper</t>
  </si>
  <si>
    <t>3. Read the comprehensive white paper on how parallel LDOs can reduce the overall system noise.</t>
  </si>
  <si>
    <t>Reduce System Noise Using Parallel LDOs</t>
  </si>
  <si>
    <t>4. Review the parallel LDO reference design using 3x parallel TPS7A57 LDOs</t>
  </si>
  <si>
    <t>5. Review the parallel LDO reference design using 2x parallel TPS7B7702-Q1 LDOs</t>
  </si>
  <si>
    <t>Tip: This reference design also showcases 4x parallel LDOs using op-amps for even higher load current capability.</t>
  </si>
  <si>
    <t>Scalable, High-Current, Parallel Automotive Reference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</si>
</sst>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sz val="11"/>
      <color theme="1"/>
      <name val="Arial"/>
      <family val="2"/>
    </font>
    <font>
      <vertAlign val="subscript"/>
      <sz val="11"/>
      <color theme="1"/>
      <name val="Calibri"/>
      <family val="2"/>
      <scheme val="minor"/>
    </font>
    <font>
      <u/>
      <sz val="11"/>
      <color theme="10"/>
      <name val="Calibri"/>
      <family val="2"/>
      <scheme val="minor"/>
    </font>
    <font>
      <sz val="11"/>
      <color theme="0"/>
      <name val="Calibri"/>
      <family val="2"/>
      <scheme val="minor"/>
    </font>
    <font>
      <sz val="16"/>
      <color theme="1"/>
      <name val="Calibri"/>
      <family val="2"/>
      <scheme val="minor"/>
    </font>
    <font>
      <b/>
      <sz val="10"/>
      <color theme="1"/>
      <name val="Arial"/>
      <family val="2"/>
    </font>
    <font>
      <sz val="10"/>
      <color theme="1"/>
      <name val="Arial"/>
      <family val="2"/>
    </font>
    <font>
      <b/>
      <u/>
      <sz val="10"/>
      <color theme="10"/>
      <name val="Arial"/>
      <family val="2"/>
    </font>
    <font>
      <sz val="10"/>
      <name val="Arial"/>
      <family val="2"/>
    </font>
    <font>
      <b/>
      <sz val="10"/>
      <color theme="0"/>
      <name val="Arial"/>
      <family val="2"/>
    </font>
    <font>
      <b/>
      <u/>
      <sz val="11"/>
      <color theme="10"/>
      <name val="Arial"/>
      <family val="2"/>
    </font>
    <font>
      <sz val="11"/>
      <color rgb="FFDE0000"/>
      <name val="Calibri"/>
      <family val="2"/>
      <scheme val="minor"/>
    </font>
    <font>
      <sz val="11"/>
      <color rgb="FFFF0000"/>
      <name val="Calibri"/>
      <family val="2"/>
      <scheme val="minor"/>
    </font>
    <font>
      <sz val="11"/>
      <color rgb="FFC00000"/>
      <name val="Calibri"/>
      <family val="2"/>
      <scheme val="minor"/>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DE0000"/>
        <bgColor indexed="64"/>
      </patternFill>
    </fill>
    <fill>
      <patternFill patternType="solid">
        <fgColor theme="0" tint="-0.14999847407452621"/>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24">
    <xf numFmtId="0" fontId="0" fillId="0" borderId="0" xfId="0"/>
    <xf numFmtId="0" fontId="0" fillId="2" borderId="0" xfId="0" applyFill="1"/>
    <xf numFmtId="0" fontId="0" fillId="2" borderId="0" xfId="0"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0" fillId="4" borderId="1" xfId="0" applyFill="1" applyBorder="1" applyAlignment="1">
      <alignment horizontal="center"/>
    </xf>
    <xf numFmtId="0" fontId="0" fillId="3" borderId="1" xfId="0" applyFill="1" applyBorder="1" applyAlignment="1">
      <alignment horizontal="center"/>
    </xf>
    <xf numFmtId="0" fontId="4" fillId="2" borderId="0" xfId="0" applyFont="1" applyFill="1" applyAlignment="1">
      <alignment horizontal="center"/>
    </xf>
    <xf numFmtId="0" fontId="1" fillId="2" borderId="0" xfId="0" applyFont="1" applyFill="1"/>
    <xf numFmtId="0" fontId="7" fillId="0" borderId="0" xfId="0" applyFont="1" applyAlignment="1">
      <alignment horizontal="center" vertical="center"/>
    </xf>
    <xf numFmtId="0" fontId="0" fillId="5" borderId="0" xfId="0" applyFill="1"/>
    <xf numFmtId="0" fontId="4" fillId="0" borderId="0" xfId="0" applyFont="1"/>
    <xf numFmtId="0" fontId="4" fillId="5" borderId="0" xfId="0" applyFont="1" applyFill="1"/>
    <xf numFmtId="0" fontId="9" fillId="0" borderId="0" xfId="0" applyFont="1" applyAlignment="1">
      <alignment horizontal="center"/>
    </xf>
    <xf numFmtId="0" fontId="9" fillId="0" borderId="0" xfId="0" applyFont="1" applyAlignment="1">
      <alignment horizontal="left"/>
    </xf>
    <xf numFmtId="0" fontId="10" fillId="0" borderId="0" xfId="0" applyFont="1"/>
    <xf numFmtId="0" fontId="11" fillId="0" borderId="0" xfId="1" applyFont="1" applyFill="1" applyBorder="1" applyAlignment="1" applyProtection="1">
      <alignment vertical="center"/>
    </xf>
    <xf numFmtId="0" fontId="11" fillId="0" borderId="0" xfId="1" applyFont="1" applyFill="1" applyBorder="1" applyAlignment="1" applyProtection="1">
      <alignment horizontal="right" vertical="center"/>
    </xf>
    <xf numFmtId="0" fontId="4" fillId="0" borderId="0" xfId="0" applyFont="1" applyAlignment="1">
      <alignment horizontal="center"/>
    </xf>
    <xf numFmtId="0" fontId="4" fillId="0" borderId="0" xfId="0" applyFont="1" applyAlignment="1">
      <alignment horizontal="left"/>
    </xf>
    <xf numFmtId="0" fontId="10" fillId="0" borderId="0" xfId="0" applyFont="1" applyAlignment="1">
      <alignment horizontal="center"/>
    </xf>
    <xf numFmtId="0" fontId="12" fillId="0" borderId="0" xfId="0" applyFont="1"/>
    <xf numFmtId="0" fontId="13" fillId="7" borderId="0" xfId="0" applyFont="1" applyFill="1" applyAlignment="1">
      <alignment horizontal="center"/>
    </xf>
    <xf numFmtId="0" fontId="14" fillId="0" borderId="0" xfId="1" applyFont="1" applyFill="1" applyBorder="1" applyAlignment="1" applyProtection="1">
      <alignment vertical="center"/>
    </xf>
    <xf numFmtId="0" fontId="15" fillId="5" borderId="0" xfId="0" applyFont="1" applyFill="1"/>
    <xf numFmtId="0" fontId="15" fillId="2" borderId="0" xfId="0" applyFont="1" applyFill="1"/>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0" fillId="2" borderId="0" xfId="0" applyFont="1" applyFill="1"/>
    <xf numFmtId="0" fontId="6" fillId="2" borderId="0" xfId="1" quotePrefix="1" applyFill="1" applyProtection="1">
      <protection locked="0"/>
    </xf>
    <xf numFmtId="0" fontId="0" fillId="2" borderId="1" xfId="0" applyFill="1" applyBorder="1"/>
    <xf numFmtId="0" fontId="0" fillId="2" borderId="1" xfId="0" applyFill="1" applyBorder="1" applyAlignment="1">
      <alignment horizontal="center"/>
    </xf>
    <xf numFmtId="0" fontId="3" fillId="2" borderId="1" xfId="0" applyFont="1" applyFill="1" applyBorder="1" applyAlignment="1">
      <alignment horizontal="center"/>
    </xf>
    <xf numFmtId="0" fontId="0" fillId="3" borderId="0" xfId="0" applyFill="1" applyAlignment="1" applyProtection="1">
      <alignment horizontal="center"/>
      <protection locked="0"/>
    </xf>
    <xf numFmtId="0" fontId="0" fillId="3" borderId="1" xfId="0" applyFill="1" applyBorder="1" applyAlignment="1" applyProtection="1">
      <alignment horizontal="center"/>
      <protection locked="0"/>
    </xf>
    <xf numFmtId="0" fontId="0" fillId="2" borderId="0" xfId="0" applyFill="1" applyProtection="1">
      <protection locked="0"/>
    </xf>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protection hidden="1"/>
    </xf>
    <xf numFmtId="0" fontId="1" fillId="4" borderId="1" xfId="0" applyFont="1" applyFill="1" applyBorder="1" applyAlignment="1" applyProtection="1">
      <alignment horizontal="center"/>
      <protection hidden="1"/>
    </xf>
    <xf numFmtId="0" fontId="16" fillId="2" borderId="0" xfId="0" applyFont="1" applyFill="1"/>
    <xf numFmtId="0" fontId="0" fillId="0" borderId="0" xfId="0" applyAlignment="1">
      <alignment horizontal="left" vertical="center" wrapText="1"/>
    </xf>
    <xf numFmtId="0" fontId="0" fillId="2" borderId="14" xfId="0" applyFill="1" applyBorder="1"/>
    <xf numFmtId="0" fontId="0" fillId="2" borderId="15" xfId="0" applyFill="1" applyBorder="1" applyAlignment="1">
      <alignment horizontal="center"/>
    </xf>
    <xf numFmtId="0" fontId="0" fillId="2" borderId="17" xfId="0" applyFill="1" applyBorder="1"/>
    <xf numFmtId="0" fontId="0" fillId="2" borderId="18" xfId="0" applyFill="1" applyBorder="1"/>
    <xf numFmtId="0" fontId="0" fillId="2" borderId="17" xfId="0" applyFill="1" applyBorder="1" applyAlignment="1">
      <alignment horizontal="center"/>
    </xf>
    <xf numFmtId="0" fontId="0" fillId="2" borderId="19" xfId="0" applyFill="1" applyBorder="1" applyAlignment="1">
      <alignment horizontal="center"/>
    </xf>
    <xf numFmtId="0" fontId="0" fillId="4" borderId="20" xfId="0" applyFill="1" applyBorder="1" applyAlignment="1" applyProtection="1">
      <alignment horizontal="center"/>
      <protection hidden="1"/>
    </xf>
    <xf numFmtId="0" fontId="0" fillId="2" borderId="15" xfId="0" applyFill="1" applyBorder="1"/>
    <xf numFmtId="0" fontId="0" fillId="2" borderId="16" xfId="0" applyFill="1" applyBorder="1"/>
    <xf numFmtId="0" fontId="0" fillId="2" borderId="22" xfId="0" applyFill="1" applyBorder="1" applyAlignment="1">
      <alignment horizontal="center"/>
    </xf>
    <xf numFmtId="0" fontId="0" fillId="2" borderId="22" xfId="0" applyFill="1" applyBorder="1"/>
    <xf numFmtId="0" fontId="0" fillId="2" borderId="21" xfId="0" applyFill="1" applyBorder="1"/>
    <xf numFmtId="0" fontId="0" fillId="2" borderId="1" xfId="0" applyFill="1" applyBorder="1" applyProtection="1">
      <protection locked="0"/>
    </xf>
    <xf numFmtId="0" fontId="0" fillId="3" borderId="23" xfId="0" applyFill="1" applyBorder="1" applyAlignment="1" applyProtection="1">
      <alignment horizontal="center"/>
      <protection locked="0"/>
    </xf>
    <xf numFmtId="11" fontId="0" fillId="3" borderId="1" xfId="0" applyNumberFormat="1" applyFill="1" applyBorder="1" applyAlignment="1" applyProtection="1">
      <alignment horizontal="center"/>
      <protection locked="0"/>
    </xf>
    <xf numFmtId="0" fontId="0" fillId="0" borderId="1" xfId="0" applyBorder="1"/>
    <xf numFmtId="0" fontId="17" fillId="2" borderId="0" xfId="0" applyFont="1" applyFill="1" applyProtection="1">
      <protection hidden="1"/>
    </xf>
    <xf numFmtId="0" fontId="17" fillId="2" borderId="0" xfId="0" applyFont="1" applyFill="1"/>
    <xf numFmtId="0" fontId="3" fillId="2" borderId="0" xfId="0" applyFont="1" applyFill="1" applyAlignment="1" applyProtection="1">
      <alignment horizontal="center"/>
      <protection hidden="1"/>
    </xf>
    <xf numFmtId="0" fontId="0" fillId="2" borderId="0" xfId="0" applyFill="1" applyAlignment="1" applyProtection="1">
      <alignment horizontal="center"/>
      <protection hidden="1"/>
    </xf>
    <xf numFmtId="0" fontId="10" fillId="0" borderId="0" xfId="0" applyFont="1" applyAlignment="1">
      <alignment horizontal="left"/>
    </xf>
    <xf numFmtId="0" fontId="16" fillId="3" borderId="1" xfId="0" applyFont="1" applyFill="1" applyBorder="1" applyAlignment="1">
      <alignment horizontal="center"/>
    </xf>
    <xf numFmtId="0" fontId="18" fillId="3" borderId="1" xfId="0" applyFont="1" applyFill="1" applyBorder="1" applyAlignment="1">
      <alignment horizontal="center"/>
    </xf>
    <xf numFmtId="0" fontId="0" fillId="0" borderId="22" xfId="0" applyBorder="1" applyAlignment="1">
      <alignment horizontal="left"/>
    </xf>
    <xf numFmtId="0" fontId="0" fillId="2" borderId="0" xfId="0" applyFill="1" applyAlignment="1">
      <alignment horizontal="left"/>
    </xf>
    <xf numFmtId="0" fontId="0" fillId="0" borderId="11" xfId="0" applyBorder="1"/>
    <xf numFmtId="0" fontId="0" fillId="0" borderId="12" xfId="0" applyBorder="1"/>
    <xf numFmtId="0" fontId="0" fillId="0" borderId="13" xfId="0" applyBorder="1"/>
    <xf numFmtId="0" fontId="8" fillId="0" borderId="0" xfId="0" applyFont="1" applyAlignment="1">
      <alignment horizontal="center" vertical="center" wrapText="1"/>
    </xf>
    <xf numFmtId="0" fontId="1" fillId="6" borderId="1" xfId="0" applyFont="1" applyFill="1" applyBorder="1" applyAlignment="1">
      <alignment horizontal="left" indent="1"/>
    </xf>
    <xf numFmtId="0" fontId="6" fillId="0" borderId="9" xfId="1" applyBorder="1" applyAlignment="1">
      <alignment horizontal="left" vertical="center" wrapText="1"/>
    </xf>
    <xf numFmtId="0" fontId="6" fillId="0" borderId="0" xfId="1" applyBorder="1" applyAlignment="1">
      <alignment horizontal="left" vertical="center" wrapText="1"/>
    </xf>
    <xf numFmtId="0" fontId="6" fillId="0" borderId="10" xfId="1" applyBorder="1" applyAlignment="1">
      <alignment horizontal="left" vertical="center" wrapText="1"/>
    </xf>
    <xf numFmtId="0" fontId="0" fillId="0" borderId="0" xfId="0" applyAlignment="1">
      <alignment horizontal="center" vertical="center" wrapText="1"/>
    </xf>
    <xf numFmtId="0" fontId="1" fillId="6" borderId="5" xfId="0" applyFont="1" applyFill="1" applyBorder="1" applyAlignment="1">
      <alignment horizontal="left" inden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center" wrapText="1" indent="5"/>
    </xf>
    <xf numFmtId="0" fontId="0" fillId="0" borderId="12" xfId="0" applyBorder="1" applyAlignment="1">
      <alignment horizontal="left" vertical="center" wrapText="1" indent="5"/>
    </xf>
    <xf numFmtId="0" fontId="0" fillId="0" borderId="13" xfId="0" applyBorder="1" applyAlignment="1">
      <alignment horizontal="left" vertical="center" wrapText="1" indent="5"/>
    </xf>
    <xf numFmtId="0" fontId="0" fillId="0" borderId="9" xfId="0" applyBorder="1" applyAlignment="1">
      <alignment horizontal="left" vertical="center" wrapText="1" indent="1"/>
    </xf>
    <xf numFmtId="0" fontId="0" fillId="0" borderId="0" xfId="0" applyAlignment="1">
      <alignment horizontal="left" vertical="center" wrapText="1" indent="1"/>
    </xf>
    <xf numFmtId="0" fontId="0" fillId="0" borderId="10" xfId="0" applyBorder="1" applyAlignment="1">
      <alignment horizontal="left" vertical="center" wrapText="1" indent="1"/>
    </xf>
    <xf numFmtId="0" fontId="0" fillId="0" borderId="9" xfId="0" applyBorder="1" applyAlignment="1">
      <alignment horizontal="left" vertical="center" wrapText="1" indent="5"/>
    </xf>
    <xf numFmtId="0" fontId="0" fillId="0" borderId="0" xfId="0" applyAlignment="1">
      <alignment horizontal="left" vertical="center" wrapText="1" indent="5"/>
    </xf>
    <xf numFmtId="0" fontId="0" fillId="0" borderId="10" xfId="0" applyBorder="1" applyAlignment="1">
      <alignment horizontal="left" vertical="center" wrapText="1" indent="5"/>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0" fillId="0" borderId="4"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1" fillId="2" borderId="0" xfId="0" applyFont="1" applyFill="1" applyAlignment="1">
      <alignment horizontal="center"/>
    </xf>
    <xf numFmtId="0" fontId="10" fillId="0" borderId="0" xfId="0" applyFont="1" applyAlignment="1">
      <alignment horizontal="left" wrapText="1"/>
    </xf>
    <xf numFmtId="0" fontId="10" fillId="0" borderId="0" xfId="0" applyFont="1" applyAlignment="1">
      <alignment horizontal="center" vertical="center"/>
    </xf>
    <xf numFmtId="0" fontId="4" fillId="0" borderId="0" xfId="0" applyFont="1" applyAlignment="1">
      <alignment horizontal="center"/>
    </xf>
    <xf numFmtId="0" fontId="13" fillId="7" borderId="0" xfId="0" applyFont="1" applyFill="1" applyAlignment="1">
      <alignment horizontal="left"/>
    </xf>
    <xf numFmtId="0" fontId="10" fillId="0" borderId="0" xfId="0" applyFont="1" applyAlignment="1">
      <alignment horizontal="left"/>
    </xf>
    <xf numFmtId="0" fontId="10" fillId="0" borderId="0" xfId="0" applyFont="1" applyAlignment="1">
      <alignment wrapText="1"/>
    </xf>
    <xf numFmtId="0" fontId="9" fillId="2" borderId="0" xfId="0" applyFont="1" applyFill="1" applyAlignment="1">
      <alignment horizontal="center"/>
    </xf>
    <xf numFmtId="0" fontId="0" fillId="2" borderId="0" xfId="0" applyFill="1" applyAlignment="1">
      <alignment horizontal="center"/>
    </xf>
    <xf numFmtId="0" fontId="6" fillId="2" borderId="0" xfId="1" applyFill="1" applyAlignment="1" applyProtection="1">
      <alignment horizontal="left"/>
      <protection locked="0"/>
    </xf>
    <xf numFmtId="0" fontId="10"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ti.com"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http://www.ti.com" TargetMode="External"/><Relationship Id="rId1" Type="http://schemas.openxmlformats.org/officeDocument/2006/relationships/hyperlink" Target="http://e2e.t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564127</xdr:colOff>
      <xdr:row>3</xdr:row>
      <xdr:rowOff>907</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302" t="-59990" r="-1" b="-47970"/>
        <a:stretch/>
      </xdr:blipFill>
      <xdr:spPr bwMode="auto">
        <a:xfrm>
          <a:off x="0" y="0"/>
          <a:ext cx="2281802" cy="56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447676</xdr:colOff>
      <xdr:row>0</xdr:row>
      <xdr:rowOff>0</xdr:rowOff>
    </xdr:from>
    <xdr:ext cx="13154024" cy="5715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71701" y="0"/>
          <a:ext cx="13154024"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600">
              <a:latin typeface="Arial Black" panose="020B0A04020102020204" pitchFamily="34" charset="0"/>
            </a:rPr>
            <a:t>How to Use</a:t>
          </a:r>
          <a:r>
            <a:rPr lang="en-US" sz="1600" baseline="0">
              <a:latin typeface="Arial Black" panose="020B0A04020102020204" pitchFamily="34" charset="0"/>
            </a:rPr>
            <a:t> the Parallel LDO Calculator</a:t>
          </a:r>
          <a:endParaRPr lang="en-US" sz="1600">
            <a:latin typeface="Arial Black" panose="020B0A040201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85725</xdr:rowOff>
        </xdr:from>
        <xdr:to>
          <xdr:col>15</xdr:col>
          <xdr:colOff>304800</xdr:colOff>
          <xdr:row>40</xdr:row>
          <xdr:rowOff>142875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200025</xdr:colOff>
      <xdr:row>0</xdr:row>
      <xdr:rowOff>114300</xdr:rowOff>
    </xdr:from>
    <xdr:ext cx="3752850" cy="381708"/>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1452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3</xdr:col>
      <xdr:colOff>323850</xdr:colOff>
      <xdr:row>1</xdr:row>
      <xdr:rowOff>25400</xdr:rowOff>
    </xdr:from>
    <xdr:ext cx="4562531" cy="254557"/>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6715125" y="215900"/>
          <a:ext cx="45625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a:solidFill>
                <a:schemeClr val="tx1"/>
              </a:solidFill>
              <a:effectLst/>
              <a:latin typeface="Arial" panose="020B0604020202020204" pitchFamily="34" charset="0"/>
              <a:ea typeface="+mn-ea"/>
              <a:cs typeface="Arial" panose="020B0604020202020204" pitchFamily="34" charset="0"/>
            </a:rPr>
            <a:t>© Copyright 2026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086227"/>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95247" y="1171573"/>
          <a:ext cx="11229977" cy="40862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latin typeface="Arial" panose="020B0604020202020204" pitchFamily="34" charset="0"/>
              <a:cs typeface="Arial" panose="020B0604020202020204" pitchFamily="34" charset="0"/>
            </a:rPr>
            <a:t>LICENSE INFORMATION:</a:t>
          </a:r>
        </a:p>
        <a:p>
          <a:r>
            <a:rPr lang="en-US" sz="900">
              <a:solidFill>
                <a:schemeClr val="tx1"/>
              </a:solidFill>
              <a:effectLst/>
              <a:latin typeface="Arial" panose="020B0604020202020204" pitchFamily="34" charset="0"/>
              <a:ea typeface="+mn-ea"/>
              <a:cs typeface="Arial" panose="020B0604020202020204" pitchFamily="34" charset="0"/>
            </a:rPr>
            <a:t>Copyright (c) 2026 Texas Instruments Incorporated</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All rights reserved not granted herein.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Limited License.  </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Redistributions must preserve existing copyright notices and reproduce this license (including the above copyright notice and the disclaimer and (if applicable) source code license limitations below) in the documentation and/or other materials provided with the distribution</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Redistribution and use in binary form, without modification,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No reverse engineering, decompilation, or disassembly of this software is permitted with respect to any software provided in binary form. </a:t>
          </a:r>
        </a:p>
        <a:p>
          <a:r>
            <a:rPr lang="en-US" sz="900">
              <a:solidFill>
                <a:schemeClr val="tx1"/>
              </a:solidFill>
              <a:effectLst/>
              <a:latin typeface="Arial" panose="020B0604020202020204" pitchFamily="34" charset="0"/>
              <a:ea typeface="+mn-ea"/>
              <a:cs typeface="Arial" panose="020B0604020202020204" pitchFamily="34" charset="0"/>
            </a:rPr>
            <a:t>*	Any redistribution and use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Nothing shall obligate TI to provide you with source code for the software licensed and provided to you in object code.</a:t>
          </a:r>
        </a:p>
        <a:p>
          <a:r>
            <a:rPr lang="en-US" sz="900">
              <a:solidFill>
                <a:schemeClr val="tx1"/>
              </a:solidFill>
              <a:effectLst/>
              <a:latin typeface="Arial" panose="020B0604020202020204" pitchFamily="34" charset="0"/>
              <a:ea typeface="+mn-ea"/>
              <a:cs typeface="Arial" panose="020B0604020202020204" pitchFamily="34" charset="0"/>
            </a:rPr>
            <a:t> </a:t>
          </a:r>
        </a:p>
        <a:p>
          <a:r>
            <a:rPr lang="en-US" sz="900">
              <a:solidFill>
                <a:schemeClr val="tx1"/>
              </a:solidFill>
              <a:effectLst/>
              <a:latin typeface="Arial" panose="020B0604020202020204" pitchFamily="34" charset="0"/>
              <a:ea typeface="+mn-ea"/>
              <a:cs typeface="Arial" panose="020B0604020202020204" pitchFamily="34" charset="0"/>
            </a:rPr>
            <a:t>If software source code is provided to you, modification and redistribution of the source code are permitted provided that the following conditions are met:</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the source code, including any resulting derivative works, are licensed by TI for use only with TI Devices.</a:t>
          </a:r>
        </a:p>
        <a:p>
          <a:r>
            <a:rPr lang="en-US" sz="900">
              <a:solidFill>
                <a:schemeClr val="tx1"/>
              </a:solidFill>
              <a:effectLst/>
              <a:latin typeface="Arial" panose="020B0604020202020204" pitchFamily="34" charset="0"/>
              <a:ea typeface="+mn-ea"/>
              <a:cs typeface="Arial" panose="020B0604020202020204" pitchFamily="34" charset="0"/>
            </a:rPr>
            <a:t>*	Any redistribution and use of any object code compiled from the source code and any resulting derivative works, are licensed by TI for use only with TI Devices.</a:t>
          </a:r>
        </a:p>
        <a:p>
          <a:endParaRPr lang="en-US" sz="900">
            <a:solidFill>
              <a:schemeClr val="tx1"/>
            </a:solidFill>
            <a:effectLst/>
            <a:latin typeface="Arial" panose="020B0604020202020204" pitchFamily="34" charset="0"/>
            <a:ea typeface="+mn-ea"/>
            <a:cs typeface="Arial" panose="020B0604020202020204" pitchFamily="34" charset="0"/>
          </a:endParaRPr>
        </a:p>
        <a:p>
          <a:r>
            <a:rPr lang="en-US" sz="900">
              <a:solidFill>
                <a:schemeClr val="tx1"/>
              </a:solidFill>
              <a:effectLst/>
              <a:latin typeface="Arial" panose="020B0604020202020204" pitchFamily="34" charset="0"/>
              <a:ea typeface="+mn-ea"/>
              <a:cs typeface="Arial" panose="020B0604020202020204" pitchFamily="34" charset="0"/>
            </a:rPr>
            <a:t>Neither the name of Texas Instruments Incorporated nor the names of its suppliers may be used to endorse or promote products derived from this software without specific prior written permission.</a:t>
          </a:r>
          <a:endParaRPr lang="en-US" sz="1000" b="1">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0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latin typeface="Arial" panose="020B0604020202020204" pitchFamily="34" charset="0"/>
              <a:cs typeface="Arial" panose="020B0604020202020204" pitchFamily="34" charset="0"/>
            </a:rPr>
            <a:t>DISCLAMER:</a:t>
          </a:r>
        </a:p>
        <a:p>
          <a:pPr marL="0" marR="0" indent="0" defTabSz="914400" eaLnBrk="1" fontAlgn="auto" latinLnBrk="0" hangingPunct="1">
            <a:lnSpc>
              <a:spcPct val="100000"/>
            </a:lnSpc>
            <a:spcBef>
              <a:spcPts val="0"/>
            </a:spcBef>
            <a:spcAft>
              <a:spcPts val="0"/>
            </a:spcAft>
            <a:buClrTx/>
            <a:buSzTx/>
            <a:buFontTx/>
            <a:buNone/>
            <a:tabLst/>
            <a:defRPr/>
          </a:pPr>
          <a:r>
            <a:rPr lang="en-US" sz="800" baseline="0">
              <a:latin typeface="Arial" panose="020B0604020202020204" pitchFamily="34" charset="0"/>
              <a:cs typeface="Arial" panose="020B0604020202020204" pitchFamily="34" charset="0"/>
            </a:rPr>
            <a:t>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a:t>
          </a:r>
        </a:p>
      </xdr:txBody>
    </xdr:sp>
    <xdr:clientData/>
  </xdr:oneCellAnchor>
  <xdr:oneCellAnchor>
    <xdr:from>
      <xdr:col>0</xdr:col>
      <xdr:colOff>95247</xdr:colOff>
      <xdr:row>29</xdr:row>
      <xdr:rowOff>47623</xdr:rowOff>
    </xdr:from>
    <xdr:ext cx="11229977" cy="809627"/>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95247" y="5333998"/>
          <a:ext cx="11229977" cy="809627"/>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r>
            <a:rPr lang="en-US" sz="1100" baseline="0">
              <a:solidFill>
                <a:schemeClr val="tx1"/>
              </a:solidFill>
              <a:effectLst/>
              <a:latin typeface="+mn-lt"/>
              <a:ea typeface="+mn-ea"/>
              <a:cs typeface="+mn-cs"/>
            </a:rPr>
            <a:t>2.  Refer to the help tab for additional device information and support.</a:t>
          </a:r>
          <a:endParaRPr lang="en-US" sz="800">
            <a:effectLst/>
          </a:endParaRPr>
        </a:p>
        <a:p>
          <a:pPr eaLnBrk="1" fontAlgn="auto" latinLnBrk="0" hangingPunct="1"/>
          <a:r>
            <a:rPr lang="en-US" sz="1100" baseline="0">
              <a:solidFill>
                <a:schemeClr val="tx1"/>
              </a:solidFill>
              <a:effectLst/>
              <a:latin typeface="+mn-lt"/>
              <a:ea typeface="+mn-ea"/>
              <a:cs typeface="+mn-cs"/>
            </a:rPr>
            <a:t>3.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0</xdr:row>
      <xdr:rowOff>0</xdr:rowOff>
    </xdr:from>
    <xdr:to>
      <xdr:col>1</xdr:col>
      <xdr:colOff>571112</xdr:colOff>
      <xdr:row>2</xdr:row>
      <xdr:rowOff>188867</xdr:rowOff>
    </xdr:to>
    <xdr:pic>
      <xdr:nvPicPr>
        <xdr:cNvPr id="6" name="Picture 5" descr="ti logo">
          <a:hlinkClick xmlns:r="http://schemas.openxmlformats.org/officeDocument/2006/relationships" r:id="rId1"/>
          <a:extLst>
            <a:ext uri="{FF2B5EF4-FFF2-40B4-BE49-F238E27FC236}">
              <a16:creationId xmlns:a16="http://schemas.microsoft.com/office/drawing/2014/main" id="{00000000-0008-0000-0400-000006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302" t="-59990" r="-1" b="-47970"/>
        <a:stretch/>
      </xdr:blipFill>
      <xdr:spPr bwMode="auto">
        <a:xfrm>
          <a:off x="0" y="0"/>
          <a:ext cx="2281802" cy="56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561975</xdr:colOff>
      <xdr:row>0</xdr:row>
      <xdr:rowOff>85725</xdr:rowOff>
    </xdr:from>
    <xdr:ext cx="3752850" cy="381708"/>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962400" y="85725"/>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How to use this tool...</a:t>
          </a:r>
        </a:p>
      </xdr:txBody>
    </xdr:sp>
    <xdr:clientData/>
  </xdr:oneCellAnchor>
  <xdr:oneCellAnchor>
    <xdr:from>
      <xdr:col>0</xdr:col>
      <xdr:colOff>47625</xdr:colOff>
      <xdr:row>5</xdr:row>
      <xdr:rowOff>76200</xdr:rowOff>
    </xdr:from>
    <xdr:ext cx="184731" cy="264560"/>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47625" y="1028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0</xdr:row>
      <xdr:rowOff>0</xdr:rowOff>
    </xdr:from>
    <xdr:to>
      <xdr:col>4</xdr:col>
      <xdr:colOff>106927</xdr:colOff>
      <xdr:row>2</xdr:row>
      <xdr:rowOff>178707</xdr:rowOff>
    </xdr:to>
    <xdr:pic>
      <xdr:nvPicPr>
        <xdr:cNvPr id="4" name="Picture 3" descr="ti logo">
          <a:hlinkClick xmlns:r="http://schemas.openxmlformats.org/officeDocument/2006/relationships" r:id="rId2"/>
          <a:extLst>
            <a:ext uri="{FF2B5EF4-FFF2-40B4-BE49-F238E27FC236}">
              <a16:creationId xmlns:a16="http://schemas.microsoft.com/office/drawing/2014/main" id="{00000000-0008-0000-0500-000004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302" t="-59990" r="-1" b="-47970"/>
        <a:stretch/>
      </xdr:blipFill>
      <xdr:spPr bwMode="auto">
        <a:xfrm>
          <a:off x="0" y="0"/>
          <a:ext cx="2281802" cy="566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i.com/lit/wp/stda017/stda017.pdf" TargetMode="External"/><Relationship Id="rId2" Type="http://schemas.openxmlformats.org/officeDocument/2006/relationships/hyperlink" Target="https://www.ti.com/lit/pdf/SBVA100" TargetMode="External"/><Relationship Id="rId1" Type="http://schemas.openxmlformats.org/officeDocument/2006/relationships/hyperlink" Target="https://www.ti.com/lit/pdf/SBVA09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www.ti.com/lit/pdf/SBVA100" TargetMode="External"/><Relationship Id="rId7" Type="http://schemas.openxmlformats.org/officeDocument/2006/relationships/hyperlink" Target="https://www.ti.com/tool/TIDA-050096" TargetMode="External"/><Relationship Id="rId2" Type="http://schemas.openxmlformats.org/officeDocument/2006/relationships/hyperlink" Target="https://e2e.ti.com/support/power-management-group/" TargetMode="External"/><Relationship Id="rId1" Type="http://schemas.openxmlformats.org/officeDocument/2006/relationships/hyperlink" Target="http://e2e.ti.com/support/data_converters/precision_data_converters/" TargetMode="External"/><Relationship Id="rId6" Type="http://schemas.openxmlformats.org/officeDocument/2006/relationships/hyperlink" Target="https://www.ti.com/lit/wp/stda017/stda017.pdf" TargetMode="External"/><Relationship Id="rId5" Type="http://schemas.openxmlformats.org/officeDocument/2006/relationships/hyperlink" Target="https://www.ti.com/tool/TIDA-050061" TargetMode="External"/><Relationship Id="rId4" Type="http://schemas.openxmlformats.org/officeDocument/2006/relationships/hyperlink" Target="https://www.ti.com/lit/pdf/SBVA093" TargetMode="Externa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83A0-D9EE-45CC-B28D-C7CEDF1A50BD}">
  <sheetPr codeName="Sheet1"/>
  <dimension ref="A1:AC49"/>
  <sheetViews>
    <sheetView showGridLines="0" zoomScaleNormal="100" workbookViewId="0">
      <selection activeCell="B7" sqref="B7:AC7"/>
    </sheetView>
  </sheetViews>
  <sheetFormatPr defaultRowHeight="15" x14ac:dyDescent="0.25"/>
  <cols>
    <col min="1" max="1" width="4" bestFit="1" customWidth="1"/>
    <col min="2" max="2" width="12.7109375" bestFit="1" customWidth="1"/>
    <col min="28" max="28" width="6.42578125" customWidth="1"/>
    <col min="29" max="29" width="13" customWidth="1"/>
  </cols>
  <sheetData>
    <row r="1" spans="1:29" x14ac:dyDescent="0.25">
      <c r="A1" s="9" t="s">
        <v>41</v>
      </c>
    </row>
    <row r="4" spans="1:29"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row>
    <row r="6" spans="1:29" x14ac:dyDescent="0.25">
      <c r="B6" s="75" t="s">
        <v>42</v>
      </c>
      <c r="C6" s="75"/>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1:29" x14ac:dyDescent="0.25">
      <c r="B7" s="97" t="s">
        <v>43</v>
      </c>
      <c r="C7" s="98"/>
      <c r="D7" s="98"/>
      <c r="E7" s="98"/>
      <c r="F7" s="98"/>
      <c r="G7" s="98"/>
      <c r="H7" s="98"/>
      <c r="I7" s="98"/>
      <c r="J7" s="98"/>
      <c r="K7" s="98"/>
      <c r="L7" s="98"/>
      <c r="M7" s="98"/>
      <c r="N7" s="98"/>
      <c r="O7" s="98"/>
      <c r="P7" s="98"/>
      <c r="Q7" s="98"/>
      <c r="R7" s="98"/>
      <c r="S7" s="98"/>
      <c r="T7" s="98"/>
      <c r="U7" s="98"/>
      <c r="V7" s="98"/>
      <c r="W7" s="98"/>
      <c r="X7" s="98"/>
      <c r="Y7" s="98"/>
      <c r="Z7" s="98"/>
      <c r="AA7" s="98"/>
      <c r="AB7" s="98"/>
      <c r="AC7" s="99"/>
    </row>
    <row r="9" spans="1:29" x14ac:dyDescent="0.25">
      <c r="B9" s="70" t="s">
        <v>44</v>
      </c>
      <c r="C9" s="70"/>
      <c r="D9" s="70"/>
      <c r="E9" s="70"/>
      <c r="F9" s="70"/>
      <c r="G9" s="70"/>
      <c r="H9" s="70"/>
      <c r="I9" s="70"/>
      <c r="J9" s="70"/>
      <c r="K9" s="70"/>
      <c r="L9" s="70"/>
      <c r="M9" s="70"/>
      <c r="N9" s="70"/>
      <c r="O9" s="70"/>
      <c r="P9" s="70"/>
      <c r="Q9" s="70"/>
      <c r="R9" s="70"/>
      <c r="S9" s="70"/>
      <c r="T9" s="70"/>
      <c r="U9" s="70"/>
      <c r="V9" s="70"/>
      <c r="W9" s="70"/>
      <c r="X9" s="70"/>
      <c r="Y9" s="70"/>
      <c r="Z9" s="70"/>
      <c r="AA9" s="70"/>
      <c r="AB9" s="70"/>
      <c r="AC9" s="70"/>
    </row>
    <row r="10" spans="1:29" ht="15" customHeight="1" x14ac:dyDescent="0.25">
      <c r="B10" s="106" t="s">
        <v>151</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8"/>
    </row>
    <row r="11" spans="1:29" x14ac:dyDescent="0.25">
      <c r="B11" s="103"/>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5"/>
    </row>
    <row r="13" spans="1:29" x14ac:dyDescent="0.25">
      <c r="B13" s="75" t="s">
        <v>78</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row>
    <row r="14" spans="1:29" x14ac:dyDescent="0.25">
      <c r="B14" s="100" t="s">
        <v>80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2"/>
    </row>
    <row r="15" spans="1:29" ht="30" customHeight="1" x14ac:dyDescent="0.25">
      <c r="B15" s="94" t="s">
        <v>136</v>
      </c>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6"/>
    </row>
    <row r="16" spans="1:29" x14ac:dyDescent="0.25">
      <c r="B16" s="103" t="s">
        <v>79</v>
      </c>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5"/>
    </row>
    <row r="18" spans="2:29" x14ac:dyDescent="0.25">
      <c r="B18" s="75" t="s">
        <v>45</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row>
    <row r="19" spans="2:29" x14ac:dyDescent="0.25">
      <c r="B19" s="100" t="s">
        <v>63</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2"/>
    </row>
    <row r="20" spans="2:29" x14ac:dyDescent="0.25">
      <c r="B20" s="94" t="s">
        <v>81</v>
      </c>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6"/>
    </row>
    <row r="21" spans="2:29" x14ac:dyDescent="0.25">
      <c r="B21" s="88" t="s">
        <v>62</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90"/>
    </row>
    <row r="22" spans="2:29" x14ac:dyDescent="0.25">
      <c r="B22" s="88" t="s">
        <v>58</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90"/>
    </row>
    <row r="23" spans="2:29" x14ac:dyDescent="0.25">
      <c r="B23" s="91" t="s">
        <v>82</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3"/>
    </row>
    <row r="24" spans="2:29" x14ac:dyDescent="0.25">
      <c r="B24" s="88" t="s">
        <v>83</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90"/>
    </row>
    <row r="25" spans="2:29" x14ac:dyDescent="0.25">
      <c r="B25" s="94" t="s">
        <v>84</v>
      </c>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6"/>
    </row>
    <row r="26" spans="2:29" x14ac:dyDescent="0.25">
      <c r="B26" s="88" t="s">
        <v>85</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90"/>
    </row>
    <row r="27" spans="2:29" x14ac:dyDescent="0.25">
      <c r="B27" s="88" t="s">
        <v>86</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90"/>
    </row>
    <row r="28" spans="2:29" x14ac:dyDescent="0.25">
      <c r="B28" s="91" t="s">
        <v>59</v>
      </c>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3"/>
    </row>
    <row r="29" spans="2:29" x14ac:dyDescent="0.25">
      <c r="B29" s="85" t="s">
        <v>60</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7"/>
    </row>
    <row r="30" spans="2:29" x14ac:dyDescent="0.25">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row>
    <row r="31" spans="2:29" x14ac:dyDescent="0.25">
      <c r="B31" s="75" t="s">
        <v>61</v>
      </c>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row>
    <row r="32" spans="2:29" x14ac:dyDescent="0.25">
      <c r="B32" s="76" t="s">
        <v>87</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8"/>
    </row>
    <row r="33" spans="2:29" x14ac:dyDescent="0.25">
      <c r="B33" s="79"/>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2:29" x14ac:dyDescent="0.25">
      <c r="B34" s="79"/>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1"/>
    </row>
    <row r="35" spans="2:29" x14ac:dyDescent="0.25">
      <c r="B35" s="79"/>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1"/>
    </row>
    <row r="36" spans="2:29" x14ac:dyDescent="0.25">
      <c r="B36" s="82"/>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4"/>
    </row>
    <row r="37" spans="2:29" x14ac:dyDescent="0.25">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row>
    <row r="38" spans="2:29" x14ac:dyDescent="0.25">
      <c r="B38" s="70" t="s">
        <v>75</v>
      </c>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row>
    <row r="39" spans="2:29" x14ac:dyDescent="0.25">
      <c r="B39" s="71" t="s">
        <v>89</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3"/>
    </row>
    <row r="40" spans="2:29" x14ac:dyDescent="0.25">
      <c r="B40" s="71" t="s">
        <v>88</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3"/>
    </row>
    <row r="41" spans="2:29" x14ac:dyDescent="0.25">
      <c r="B41" s="71" t="s">
        <v>152</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3"/>
    </row>
    <row r="42" spans="2:29" x14ac:dyDescent="0.25">
      <c r="B42" s="66"/>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8"/>
    </row>
    <row r="43" spans="2:29" ht="18" customHeight="1" x14ac:dyDescent="0.25">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row>
    <row r="44" spans="2:29" ht="18" customHeight="1" x14ac:dyDescent="0.25">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row>
    <row r="45" spans="2:29" ht="18" customHeight="1" x14ac:dyDescent="0.25">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row>
    <row r="46" spans="2:29" ht="18" customHeight="1" x14ac:dyDescent="0.25">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row>
    <row r="47" spans="2:29" ht="18" customHeight="1" x14ac:dyDescent="0.25">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row>
    <row r="48" spans="2:29" ht="18" customHeight="1" x14ac:dyDescent="0.25">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row>
    <row r="49" ht="18" customHeight="1" x14ac:dyDescent="0.25"/>
  </sheetData>
  <mergeCells count="33">
    <mergeCell ref="B20:AC20"/>
    <mergeCell ref="B6:AC6"/>
    <mergeCell ref="B7:AC7"/>
    <mergeCell ref="B9:AC9"/>
    <mergeCell ref="B18:AC18"/>
    <mergeCell ref="B19:AC19"/>
    <mergeCell ref="B13:AC13"/>
    <mergeCell ref="B14:AC14"/>
    <mergeCell ref="B16:AC16"/>
    <mergeCell ref="B10:AC11"/>
    <mergeCell ref="B15:AC15"/>
    <mergeCell ref="B37:AC37"/>
    <mergeCell ref="B31:AC31"/>
    <mergeCell ref="B32:AC36"/>
    <mergeCell ref="B29:AC29"/>
    <mergeCell ref="B21:AC21"/>
    <mergeCell ref="B22:AC22"/>
    <mergeCell ref="B23:AC23"/>
    <mergeCell ref="B24:AC24"/>
    <mergeCell ref="B26:AC26"/>
    <mergeCell ref="B27:AC27"/>
    <mergeCell ref="B28:AC28"/>
    <mergeCell ref="B25:AC25"/>
    <mergeCell ref="B45:AC45"/>
    <mergeCell ref="B46:AC46"/>
    <mergeCell ref="B47:AC47"/>
    <mergeCell ref="B48:AC48"/>
    <mergeCell ref="B38:AC38"/>
    <mergeCell ref="B39:AC39"/>
    <mergeCell ref="B40:AC40"/>
    <mergeCell ref="B41:AC41"/>
    <mergeCell ref="B43:AC43"/>
    <mergeCell ref="B44:AC44"/>
  </mergeCells>
  <hyperlinks>
    <hyperlink ref="B39:AC39" r:id="rId1" display="1. &quot;Comprehensive Analysis and Universal Equations for Parallel LDO's Using Ballast Resistors&quot; technical white paper" xr:uid="{0AC57AA3-F573-4C23-8408-5CA8F1E64D22}"/>
    <hyperlink ref="B40:AC40" r:id="rId2" display="2. &quot;Parallel LDO Architecture Design Using Ballast Resistors&quot; technical white paper" xr:uid="{C803B503-E438-4867-87AD-F0685A75722E}"/>
    <hyperlink ref="B41:AC41" r:id="rId3" display="3. &quot;Reduce System Noise Using Parallel LDOs&quot; technical white paper" xr:uid="{83DA993A-C734-40F7-B462-4201E2D0689C}"/>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1C58-0A65-418C-A498-3E904ADDCE73}">
  <sheetPr codeName="Sheet2"/>
  <dimension ref="A1:G58"/>
  <sheetViews>
    <sheetView tabSelected="1" workbookViewId="0">
      <selection activeCell="B4" sqref="B4"/>
    </sheetView>
  </sheetViews>
  <sheetFormatPr defaultColWidth="9.140625" defaultRowHeight="15" x14ac:dyDescent="0.25"/>
  <cols>
    <col min="1" max="1" width="9.140625" style="1"/>
    <col min="2" max="2" width="40.85546875" style="1" bestFit="1" customWidth="1"/>
    <col min="3" max="4" width="9.140625" style="1"/>
    <col min="5" max="5" width="18.42578125" style="1" bestFit="1" customWidth="1"/>
    <col min="6" max="6" width="9.140625" style="1"/>
    <col min="7" max="7" width="3.140625" style="1" customWidth="1"/>
    <col min="8" max="16384" width="9.140625" style="1"/>
  </cols>
  <sheetData>
    <row r="1" spans="1:7" x14ac:dyDescent="0.25">
      <c r="A1" s="1" t="s">
        <v>77</v>
      </c>
    </row>
    <row r="2" spans="1:7" x14ac:dyDescent="0.25">
      <c r="A2" s="1" t="s">
        <v>29</v>
      </c>
    </row>
    <row r="3" spans="1:7" x14ac:dyDescent="0.25">
      <c r="A3" s="3"/>
    </row>
    <row r="4" spans="1:7" ht="14.45" customHeight="1" x14ac:dyDescent="0.25">
      <c r="A4" s="3"/>
      <c r="B4" s="33" t="s">
        <v>147</v>
      </c>
    </row>
    <row r="5" spans="1:7" ht="15" customHeight="1" x14ac:dyDescent="0.25">
      <c r="A5" s="3"/>
      <c r="B5" s="109" t="s">
        <v>8</v>
      </c>
      <c r="C5" s="109"/>
      <c r="D5" s="109"/>
    </row>
    <row r="6" spans="1:7" x14ac:dyDescent="0.25">
      <c r="A6" s="3"/>
      <c r="B6" s="1" t="s">
        <v>16</v>
      </c>
      <c r="C6" s="2" t="s">
        <v>9</v>
      </c>
      <c r="D6" s="2" t="s">
        <v>1</v>
      </c>
      <c r="E6" s="2" t="s">
        <v>68</v>
      </c>
      <c r="F6" s="2" t="s">
        <v>1</v>
      </c>
    </row>
    <row r="7" spans="1:7" ht="18" hidden="1" x14ac:dyDescent="0.35">
      <c r="A7" s="2"/>
      <c r="B7" s="1" t="s">
        <v>17</v>
      </c>
      <c r="C7" s="37">
        <f>HLOOKUP($B$4,LookupTables!$C$1:$AC$7,2,FALSE)</f>
        <v>3</v>
      </c>
      <c r="D7" s="2" t="s">
        <v>5</v>
      </c>
    </row>
    <row r="8" spans="1:7" ht="18" hidden="1" x14ac:dyDescent="0.35">
      <c r="A8" s="2"/>
      <c r="B8" s="1" t="s">
        <v>18</v>
      </c>
      <c r="C8" s="37">
        <f>HLOOKUP($B$4,LookupTables!$C$1:$AC$7,3,FALSE)</f>
        <v>-3</v>
      </c>
      <c r="D8" s="2" t="s">
        <v>5</v>
      </c>
    </row>
    <row r="9" spans="1:7" ht="18" x14ac:dyDescent="0.35">
      <c r="A9" s="2"/>
      <c r="B9" s="1" t="s">
        <v>17</v>
      </c>
      <c r="C9" s="37">
        <f>IF(E9="",C7,E9)</f>
        <v>3</v>
      </c>
      <c r="D9" s="2" t="s">
        <v>5</v>
      </c>
      <c r="E9" s="34"/>
      <c r="F9" s="2" t="s">
        <v>5</v>
      </c>
    </row>
    <row r="10" spans="1:7" ht="18" x14ac:dyDescent="0.35">
      <c r="A10" s="2"/>
      <c r="B10" s="1" t="s">
        <v>18</v>
      </c>
      <c r="C10" s="37">
        <f>IF(E10="",C8,E10)</f>
        <v>-3</v>
      </c>
      <c r="D10" s="2" t="s">
        <v>5</v>
      </c>
      <c r="E10" s="34"/>
      <c r="F10" s="2" t="s">
        <v>5</v>
      </c>
    </row>
    <row r="11" spans="1:7" hidden="1" x14ac:dyDescent="0.25">
      <c r="A11" s="2"/>
      <c r="B11" s="1" t="s">
        <v>0</v>
      </c>
      <c r="C11" s="37">
        <f>HLOOKUP($B$4,LookupTables!$C$1:$AC$7,4,FALSE)</f>
        <v>10</v>
      </c>
      <c r="D11" s="2" t="s">
        <v>3</v>
      </c>
      <c r="E11" s="35"/>
    </row>
    <row r="12" spans="1:7" hidden="1" x14ac:dyDescent="0.25">
      <c r="A12" s="2"/>
      <c r="B12" s="1" t="s">
        <v>12</v>
      </c>
      <c r="C12" s="37">
        <f>HLOOKUP($B$4,LookupTables!$C$1:$AC$7,5,FALSE)</f>
        <v>0.22</v>
      </c>
      <c r="D12" s="2" t="s">
        <v>2</v>
      </c>
      <c r="E12" s="35"/>
    </row>
    <row r="13" spans="1:7" hidden="1" x14ac:dyDescent="0.25">
      <c r="A13" s="2"/>
      <c r="B13" s="1" t="s">
        <v>14</v>
      </c>
      <c r="C13" s="37">
        <f>HLOOKUP($B$4,LookupTables!$C$1:$AC$7,6,FALSE)</f>
        <v>2.72</v>
      </c>
      <c r="D13" s="4" t="s">
        <v>30</v>
      </c>
      <c r="E13" s="35"/>
      <c r="G13" s="2"/>
    </row>
    <row r="14" spans="1:7" ht="18" x14ac:dyDescent="0.35">
      <c r="A14" s="2"/>
      <c r="B14" s="1" t="s">
        <v>19</v>
      </c>
      <c r="C14" s="37">
        <f>IF(E14="",C15,E14)</f>
        <v>14.3</v>
      </c>
      <c r="D14" s="4" t="s">
        <v>13</v>
      </c>
      <c r="E14" s="34"/>
      <c r="F14" s="4" t="s">
        <v>13</v>
      </c>
      <c r="G14" s="2"/>
    </row>
    <row r="15" spans="1:7" ht="18" hidden="1" x14ac:dyDescent="0.35">
      <c r="A15" s="2"/>
      <c r="B15" s="1" t="s">
        <v>19</v>
      </c>
      <c r="C15" s="5">
        <f>HLOOKUP($B$4,LookupTables!$C$1:$AC$7,7,FALSE)</f>
        <v>14.3</v>
      </c>
      <c r="D15" s="4" t="s">
        <v>13</v>
      </c>
      <c r="G15" s="2"/>
    </row>
    <row r="16" spans="1:7" ht="18" x14ac:dyDescent="0.35">
      <c r="A16" s="2"/>
      <c r="B16" t="s">
        <v>101</v>
      </c>
      <c r="C16" s="37" t="str">
        <f>HLOOKUP($B$4,LookupTables!$C$1:$AC$8,8,FALSE)</f>
        <v>NA</v>
      </c>
      <c r="D16" s="59" t="str">
        <f>IF(OR(B4="TPS7A33", B4="TPS7H1210-SEP"), "-Vdc", "Vdc")</f>
        <v>Vdc</v>
      </c>
      <c r="G16" s="2"/>
    </row>
    <row r="17" spans="1:7" x14ac:dyDescent="0.25">
      <c r="A17" s="2"/>
      <c r="D17" s="2"/>
      <c r="G17" s="2"/>
    </row>
    <row r="18" spans="1:7" x14ac:dyDescent="0.25">
      <c r="A18" s="2"/>
      <c r="B18" s="110" t="s">
        <v>10</v>
      </c>
      <c r="C18" s="111"/>
      <c r="D18" s="112"/>
      <c r="G18" s="2"/>
    </row>
    <row r="19" spans="1:7" x14ac:dyDescent="0.25">
      <c r="A19" s="2"/>
      <c r="B19" s="1" t="s">
        <v>16</v>
      </c>
      <c r="C19" s="2" t="s">
        <v>9</v>
      </c>
      <c r="D19" s="2" t="s">
        <v>1</v>
      </c>
      <c r="E19" s="2"/>
      <c r="F19" s="2"/>
      <c r="G19" s="2"/>
    </row>
    <row r="20" spans="1:7" ht="18" hidden="1" x14ac:dyDescent="0.35">
      <c r="A20" s="2"/>
      <c r="B20" s="1" t="s">
        <v>20</v>
      </c>
      <c r="C20" s="36">
        <f>HLOOKUP($B$4,LookupTables!$C$1:$AC$17,10,FALSE)</f>
        <v>85</v>
      </c>
      <c r="D20" s="4" t="s">
        <v>4</v>
      </c>
      <c r="E20" s="2"/>
      <c r="F20" s="2"/>
      <c r="G20" s="2"/>
    </row>
    <row r="21" spans="1:7" ht="18" hidden="1" x14ac:dyDescent="0.35">
      <c r="A21" s="2"/>
      <c r="B21" s="1" t="s">
        <v>23</v>
      </c>
      <c r="C21" s="36">
        <f>HLOOKUP($B$4,LookupTables!$C$1:$AC$17,11,FALSE)</f>
        <v>125</v>
      </c>
      <c r="D21" s="4" t="s">
        <v>4</v>
      </c>
      <c r="E21" s="2"/>
      <c r="F21" s="2"/>
      <c r="G21" s="2"/>
    </row>
    <row r="22" spans="1:7" ht="18" hidden="1" x14ac:dyDescent="0.35">
      <c r="A22" s="2"/>
      <c r="B22" s="1" t="s">
        <v>21</v>
      </c>
      <c r="C22" s="36">
        <f>HLOOKUP($B$4,LookupTables!$C$1:$AC$17,12,FALSE)</f>
        <v>1.2</v>
      </c>
      <c r="D22" s="2" t="s">
        <v>2</v>
      </c>
      <c r="E22" s="2"/>
      <c r="F22" s="2"/>
      <c r="G22" s="2"/>
    </row>
    <row r="23" spans="1:7" ht="18" hidden="1" x14ac:dyDescent="0.35">
      <c r="A23" s="2"/>
      <c r="B23" s="1" t="s">
        <v>22</v>
      </c>
      <c r="C23" s="36">
        <f>HLOOKUP($B$4,LookupTables!$C$1:$AC$17,13,FALSE)</f>
        <v>0.9</v>
      </c>
      <c r="D23" s="2" t="s">
        <v>2</v>
      </c>
      <c r="E23" s="2"/>
      <c r="F23" s="2"/>
      <c r="G23" s="2"/>
    </row>
    <row r="24" spans="1:7" hidden="1" x14ac:dyDescent="0.25">
      <c r="A24" s="2"/>
      <c r="B24" s="1" t="s">
        <v>6</v>
      </c>
      <c r="C24" s="36">
        <f>HLOOKUP($B$4,LookupTables!$C$1:$AC$17,14,FALSE)</f>
        <v>0.02</v>
      </c>
      <c r="D24" s="2" t="s">
        <v>2</v>
      </c>
      <c r="E24" s="2"/>
      <c r="F24" s="2"/>
      <c r="G24" s="2"/>
    </row>
    <row r="25" spans="1:7" hidden="1" x14ac:dyDescent="0.25">
      <c r="A25" s="2"/>
      <c r="B25" s="1" t="s">
        <v>11</v>
      </c>
      <c r="C25" s="36">
        <f>HLOOKUP($B$4,LookupTables!$C$1:$AC$17,15,FALSE)</f>
        <v>2.72</v>
      </c>
      <c r="D25" s="4" t="s">
        <v>30</v>
      </c>
      <c r="E25" s="2"/>
      <c r="F25" s="2"/>
      <c r="G25" s="2"/>
    </row>
    <row r="26" spans="1:7" hidden="1" x14ac:dyDescent="0.25">
      <c r="A26" s="2"/>
      <c r="B26" s="1" t="s">
        <v>15</v>
      </c>
      <c r="C26" s="36">
        <f>HLOOKUP($B$4,LookupTables!$C$1:$AC$17,16,FALSE)</f>
        <v>18</v>
      </c>
      <c r="D26" s="2" t="s">
        <v>3</v>
      </c>
      <c r="E26" s="2"/>
      <c r="F26" s="2"/>
      <c r="G26" s="2"/>
    </row>
    <row r="27" spans="1:7" hidden="1" x14ac:dyDescent="0.25">
      <c r="A27" s="2"/>
      <c r="B27" s="1" t="s">
        <v>34</v>
      </c>
      <c r="C27" s="36">
        <f>HLOOKUP($B$4,LookupTables!$C$1:$AC$17,17,FALSE)</f>
        <v>10</v>
      </c>
      <c r="D27" s="2" t="s">
        <v>3</v>
      </c>
      <c r="E27" s="2"/>
      <c r="F27" s="2"/>
      <c r="G27" s="2"/>
    </row>
    <row r="28" spans="1:7" ht="18" x14ac:dyDescent="0.35">
      <c r="A28" s="2"/>
      <c r="B28" s="1" t="s">
        <v>20</v>
      </c>
      <c r="C28" s="37">
        <f>IF(E28="",C20,E28)</f>
        <v>85</v>
      </c>
      <c r="D28" s="4" t="s">
        <v>4</v>
      </c>
      <c r="E28" s="34"/>
      <c r="F28" s="4" t="s">
        <v>4</v>
      </c>
    </row>
    <row r="29" spans="1:7" ht="18" x14ac:dyDescent="0.35">
      <c r="A29" s="2"/>
      <c r="B29" s="1" t="s">
        <v>23</v>
      </c>
      <c r="C29" s="37">
        <f t="shared" ref="C29:C35" si="0">IF(E29="",C21,E29)</f>
        <v>125</v>
      </c>
      <c r="D29" s="4" t="s">
        <v>4</v>
      </c>
      <c r="E29" s="34"/>
      <c r="F29" s="4" t="s">
        <v>4</v>
      </c>
    </row>
    <row r="30" spans="1:7" ht="18" x14ac:dyDescent="0.35">
      <c r="A30" s="2"/>
      <c r="B30" s="1" t="s">
        <v>21</v>
      </c>
      <c r="C30" s="37">
        <f t="shared" si="0"/>
        <v>1.2</v>
      </c>
      <c r="D30" s="60" t="str">
        <f>IF(OR(B4="TPS7A33", B4="TPS7H1210-SEP"), "-Vdc", "Vdc")</f>
        <v>Vdc</v>
      </c>
      <c r="E30" s="34"/>
      <c r="F30" s="60" t="str">
        <f>IF(OR(B4="TPS7A33", B4="TPS7H1210-SEP"), "-Vdc", "Vdc")</f>
        <v>Vdc</v>
      </c>
    </row>
    <row r="31" spans="1:7" ht="18" x14ac:dyDescent="0.35">
      <c r="A31" s="2"/>
      <c r="B31" s="1" t="s">
        <v>22</v>
      </c>
      <c r="C31" s="37">
        <f t="shared" si="0"/>
        <v>0.9</v>
      </c>
      <c r="D31" s="60" t="str">
        <f>IF(OR(B4="TPS7A33", B4="TPS7H1210-SEP"), "-Vdc", "Vdc")</f>
        <v>Vdc</v>
      </c>
      <c r="E31" s="34"/>
      <c r="F31" s="60" t="str">
        <f>IF(OR(B4="TPS7A33", B4="TPS7H1210-SEP"), "-Vdc", "Vdc")</f>
        <v>Vdc</v>
      </c>
      <c r="G31" s="39"/>
    </row>
    <row r="32" spans="1:7" x14ac:dyDescent="0.25">
      <c r="A32" s="2"/>
      <c r="B32" s="1" t="s">
        <v>76</v>
      </c>
      <c r="C32" s="37">
        <f t="shared" si="0"/>
        <v>0.02</v>
      </c>
      <c r="D32" s="60" t="str">
        <f>IF(OR(B4="TPS7A33", B4="TPS7H1210-SEP"), "-Vdc", "Vdc")</f>
        <v>Vdc</v>
      </c>
      <c r="E32" s="34"/>
      <c r="F32" s="60" t="str">
        <f>IF(OR(B4="TPS7A33", B4="TPS7H1210-SEP"), "-Vdc", "Vdc")</f>
        <v>Vdc</v>
      </c>
    </row>
    <row r="33" spans="1:6" x14ac:dyDescent="0.25">
      <c r="A33" s="2"/>
      <c r="B33" s="1" t="s">
        <v>74</v>
      </c>
      <c r="C33" s="37">
        <f t="shared" si="0"/>
        <v>2.72</v>
      </c>
      <c r="D33" s="4" t="s">
        <v>30</v>
      </c>
      <c r="E33" s="34"/>
      <c r="F33" s="4" t="s">
        <v>30</v>
      </c>
    </row>
    <row r="34" spans="1:6" x14ac:dyDescent="0.25">
      <c r="A34" s="2"/>
      <c r="B34" s="1" t="s">
        <v>15</v>
      </c>
      <c r="C34" s="37">
        <f t="shared" si="0"/>
        <v>18</v>
      </c>
      <c r="D34" s="60" t="str">
        <f>IF(OR(B4="TPS7A33", B4="TPS7H1210-SEP"), "-A", "A")</f>
        <v>A</v>
      </c>
      <c r="E34" s="34"/>
      <c r="F34" s="60" t="str">
        <f>IF(OR(B4="TPS7A33", B4="TPS7H1210-SEP"), "-A", "A")</f>
        <v>A</v>
      </c>
    </row>
    <row r="35" spans="1:6" hidden="1" x14ac:dyDescent="0.25">
      <c r="A35" s="2"/>
      <c r="B35" s="1" t="s">
        <v>34</v>
      </c>
      <c r="C35" s="37">
        <f t="shared" si="0"/>
        <v>10</v>
      </c>
      <c r="D35" s="2" t="s">
        <v>3</v>
      </c>
    </row>
    <row r="36" spans="1:6" x14ac:dyDescent="0.25">
      <c r="A36" s="2"/>
      <c r="C36" s="2"/>
      <c r="D36" s="2"/>
    </row>
    <row r="37" spans="1:6" hidden="1" x14ac:dyDescent="0.25">
      <c r="A37" s="2"/>
      <c r="B37" s="1" t="s">
        <v>27</v>
      </c>
      <c r="C37" s="5">
        <f>MIN(((C29-C28)/C14)/(C30-C31),C11)</f>
        <v>9.3240093240093262</v>
      </c>
      <c r="D37" s="2" t="s">
        <v>3</v>
      </c>
    </row>
    <row r="38" spans="1:6" hidden="1" x14ac:dyDescent="0.25">
      <c r="A38" s="2"/>
      <c r="B38" s="1" t="s">
        <v>28</v>
      </c>
      <c r="C38" s="5">
        <f>IF(C12&gt;(C30-C31), ((C30-C31)/C12)*C11,C11)</f>
        <v>10</v>
      </c>
      <c r="D38" s="2" t="s">
        <v>3</v>
      </c>
    </row>
    <row r="39" spans="1:6" x14ac:dyDescent="0.25">
      <c r="A39" s="2"/>
      <c r="B39" s="1" t="s">
        <v>40</v>
      </c>
      <c r="C39" s="37">
        <f>IF(C34&lt;=MIN(C37:C38),"",(C9-C10)/C35)</f>
        <v>0.6</v>
      </c>
      <c r="D39" s="7" t="s">
        <v>24</v>
      </c>
    </row>
    <row r="40" spans="1:6" x14ac:dyDescent="0.25">
      <c r="A40" s="2"/>
      <c r="B40" s="1" t="s">
        <v>35</v>
      </c>
      <c r="C40" s="37">
        <f>IF(C34&lt;=MIN(C37:C38),"",IF(C55&lt;(C39/1000),IF(C56&lt;(C39/1000),C39,C56*1000),C55*1000))</f>
        <v>2.1891280489749949</v>
      </c>
      <c r="D40" s="7" t="s">
        <v>24</v>
      </c>
    </row>
    <row r="41" spans="1:6" x14ac:dyDescent="0.25">
      <c r="A41" s="2"/>
      <c r="B41" s="1" t="s">
        <v>25</v>
      </c>
      <c r="C41" s="37">
        <f>IF(E41="",C40,E41)</f>
        <v>2.1891280489749949</v>
      </c>
      <c r="D41" s="7" t="s">
        <v>24</v>
      </c>
      <c r="E41" s="34"/>
      <c r="F41" s="7" t="s">
        <v>24</v>
      </c>
    </row>
    <row r="42" spans="1:6" x14ac:dyDescent="0.25">
      <c r="C42" s="2"/>
      <c r="D42" s="2"/>
    </row>
    <row r="43" spans="1:6" x14ac:dyDescent="0.25">
      <c r="C43" s="2" t="s">
        <v>7</v>
      </c>
    </row>
    <row r="44" spans="1:6" hidden="1" x14ac:dyDescent="0.25">
      <c r="B44" s="1" t="s">
        <v>31</v>
      </c>
      <c r="C44" s="5">
        <f>(C13/C33)^2</f>
        <v>1</v>
      </c>
    </row>
    <row r="45" spans="1:6" hidden="1" x14ac:dyDescent="0.25">
      <c r="B45" s="1" t="s">
        <v>32</v>
      </c>
      <c r="C45" s="5">
        <f>(C41/1000)*C34/(C32+(C10/1000))</f>
        <v>2.3179002871499947</v>
      </c>
    </row>
    <row r="46" spans="1:6" hidden="1" x14ac:dyDescent="0.25">
      <c r="B46" s="1" t="s">
        <v>33</v>
      </c>
      <c r="C46" s="5">
        <f>IF(C34&lt;=MIN(C37:C38),1,((C34+(C10-C9)/C41)/(MIN(C37,C38)+(C10-C9)/C41)))</f>
        <v>2.3179002871499943</v>
      </c>
    </row>
    <row r="47" spans="1:6" hidden="1" x14ac:dyDescent="0.25"/>
    <row r="48" spans="1:6" x14ac:dyDescent="0.25">
      <c r="B48" s="8" t="s">
        <v>26</v>
      </c>
      <c r="C48" s="38">
        <f>IF(C34&lt;=MIN(C37:C38),1,ROUNDUP(MAX(C44:C46),0))</f>
        <v>3</v>
      </c>
    </row>
    <row r="49" spans="2:3" x14ac:dyDescent="0.25">
      <c r="B49" s="57" t="str">
        <f>IF((-C32*1000)&gt;C10,"Error: Allowable increase in load regulation is smaller than Ve", "")</f>
        <v/>
      </c>
    </row>
    <row r="50" spans="2:3" x14ac:dyDescent="0.25">
      <c r="B50" s="57" t="str">
        <f>IF(C31&gt;C30,"Error: Vout is larger than Vin", "")</f>
        <v/>
      </c>
    </row>
    <row r="51" spans="2:3" hidden="1" x14ac:dyDescent="0.25">
      <c r="B51" s="58" t="s">
        <v>36</v>
      </c>
      <c r="C51" s="1">
        <f>C34*MIN(C37:C38)</f>
        <v>167.83216783216787</v>
      </c>
    </row>
    <row r="52" spans="2:3" hidden="1" x14ac:dyDescent="0.25">
      <c r="B52" s="58" t="s">
        <v>37</v>
      </c>
      <c r="C52" s="1">
        <f>-C34*((C9/1000)+C32)</f>
        <v>-0.41399999999999998</v>
      </c>
    </row>
    <row r="53" spans="2:3" hidden="1" x14ac:dyDescent="0.25">
      <c r="B53" s="58" t="s">
        <v>38</v>
      </c>
      <c r="C53" s="1">
        <f>((C9/1000)-(C10/1000))*(C32+(C10/1000))</f>
        <v>1.0200000000000001E-4</v>
      </c>
    </row>
    <row r="54" spans="2:3" hidden="1" x14ac:dyDescent="0.25">
      <c r="B54" s="58"/>
    </row>
    <row r="55" spans="2:3" hidden="1" x14ac:dyDescent="0.25">
      <c r="B55" s="58" t="s">
        <v>39</v>
      </c>
      <c r="C55" s="1">
        <f>(-C52+SQRT((C52*C52)-(4*C51*C53)))/(2*C51)</f>
        <v>2.1891280489749949E-3</v>
      </c>
    </row>
    <row r="56" spans="2:3" hidden="1" x14ac:dyDescent="0.25">
      <c r="B56" s="58" t="s">
        <v>39</v>
      </c>
      <c r="C56" s="1">
        <f>(-C52-SQRT((C52*C52)-(4*C51*C53)))/(2*C51)</f>
        <v>2.7762195102500466E-4</v>
      </c>
    </row>
    <row r="57" spans="2:3" x14ac:dyDescent="0.25">
      <c r="B57" s="57" t="str">
        <f>IF(OR(B4="TPS7A8301A",B4="TPS7A8401A",B4="TPS7A8501A"), "Note: 1.2 mV VE assumes the LDO is operating with FB tied to Vout.",
IF(B4="TPS7B7702", "Note: these results are valid for 2 parallel LDOs with at least 1 mA of load current, within the same TPS7B7702 IC only.",
""))</f>
        <v/>
      </c>
    </row>
    <row r="58" spans="2:3" x14ac:dyDescent="0.25">
      <c r="B58" s="57" t="str">
        <f>IF(OR(B4=("TPS7A57"),B4=("TPS7A94"),B4=("TPS7A96"),B4=("TPS7A47Axx"),B4=("TPS7H1111-SP"),B4=("TPS7H1111-SEP")),"", "If feedback resistors are used, use the 'Error Voltage Calculator' tab to obtain the new error voltage then update Ve in the 'Optional User Entry' field.")</f>
        <v>If feedback resistors are used, use the 'Error Voltage Calculator' tab to obtain the new error voltage then update Ve in the 'Optional User Entry' field.</v>
      </c>
    </row>
  </sheetData>
  <sheetProtection algorithmName="SHA-512" hashValue="/fHoxSTTTTMECt26zLcEIHnPf41NW7vBw3gcLJBj3A7fAFAzKBtdIvZgkEQTiMsBUyO2cOkRwzzbHwrhNmktLg==" saltValue="vRt4TtNVm8e+fqqDYKiruA==" spinCount="100000" sheet="1" objects="1" scenarios="1" selectLockedCells="1"/>
  <mergeCells count="2">
    <mergeCell ref="B5:D5"/>
    <mergeCell ref="B18:D18"/>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2051" r:id="rId4">
          <objectPr defaultSize="0" autoPict="0" r:id="rId5">
            <anchor moveWithCells="1">
              <from>
                <xdr:col>7</xdr:col>
                <xdr:colOff>19050</xdr:colOff>
                <xdr:row>2</xdr:row>
                <xdr:rowOff>85725</xdr:rowOff>
              </from>
              <to>
                <xdr:col>15</xdr:col>
                <xdr:colOff>304800</xdr:colOff>
                <xdr:row>40</xdr:row>
                <xdr:rowOff>142875</xdr:rowOff>
              </to>
            </anchor>
          </objectPr>
        </oleObject>
      </mc:Choice>
      <mc:Fallback>
        <oleObject progId="Visio.Drawing.15" shapeId="2051"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r:uid="{7E63D29C-307D-4CCF-A880-94BD85190D01}">
          <x14:formula1>
            <xm:f>LookupTables!$C$1:$AC$1</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3487-C8D3-43FF-8B37-5E2B0AECBB04}">
  <dimension ref="A2:J54"/>
  <sheetViews>
    <sheetView workbookViewId="0">
      <selection activeCell="C8" sqref="C8"/>
    </sheetView>
  </sheetViews>
  <sheetFormatPr defaultColWidth="9.140625" defaultRowHeight="15" x14ac:dyDescent="0.25"/>
  <cols>
    <col min="1" max="1" width="3.140625" style="1" customWidth="1"/>
    <col min="2" max="2" width="10.140625" style="1" bestFit="1" customWidth="1"/>
    <col min="3" max="3" width="9.42578125" style="1" bestFit="1" customWidth="1"/>
    <col min="4" max="4" width="6.85546875" style="1" bestFit="1" customWidth="1"/>
    <col min="5" max="7" width="9.140625" style="1"/>
    <col min="8" max="8" width="4.42578125" style="1" customWidth="1"/>
    <col min="9" max="9" width="5.140625" style="1" customWidth="1"/>
    <col min="10" max="16384" width="9.140625" style="1"/>
  </cols>
  <sheetData>
    <row r="2" spans="1:10" ht="14.45" customHeight="1" x14ac:dyDescent="0.25">
      <c r="B2" s="113" t="s">
        <v>102</v>
      </c>
      <c r="C2" s="113"/>
      <c r="D2" s="113"/>
      <c r="E2" s="113"/>
      <c r="F2" s="113"/>
      <c r="G2" s="113"/>
      <c r="H2" s="113"/>
      <c r="I2" s="113"/>
    </row>
    <row r="3" spans="1:10" ht="15" customHeight="1" thickBot="1" x14ac:dyDescent="0.4">
      <c r="B3" s="64" t="s">
        <v>106</v>
      </c>
      <c r="C3" s="64"/>
      <c r="D3" s="64"/>
      <c r="E3" s="64"/>
      <c r="F3" s="64"/>
      <c r="G3" s="64"/>
      <c r="H3" s="64"/>
      <c r="I3" s="64"/>
      <c r="J3" s="65"/>
    </row>
    <row r="4" spans="1:10" x14ac:dyDescent="0.25">
      <c r="B4" s="41" t="s">
        <v>16</v>
      </c>
      <c r="C4" s="42" t="s">
        <v>100</v>
      </c>
      <c r="D4" s="42" t="s">
        <v>1</v>
      </c>
      <c r="E4" s="48" t="s">
        <v>103</v>
      </c>
      <c r="F4" s="48"/>
      <c r="G4" s="48"/>
      <c r="H4" s="48"/>
      <c r="I4" s="49"/>
    </row>
    <row r="5" spans="1:10" hidden="1" x14ac:dyDescent="0.25">
      <c r="B5" s="45"/>
      <c r="C5" s="2"/>
      <c r="D5" s="2"/>
      <c r="I5" s="44"/>
    </row>
    <row r="6" spans="1:10" hidden="1" x14ac:dyDescent="0.25">
      <c r="B6" s="45"/>
      <c r="C6" s="2"/>
      <c r="D6" s="2"/>
      <c r="I6" s="44"/>
    </row>
    <row r="7" spans="1:10" ht="18" x14ac:dyDescent="0.35">
      <c r="B7" s="43" t="s">
        <v>107</v>
      </c>
      <c r="C7" s="55">
        <v>249.9</v>
      </c>
      <c r="D7" s="7" t="s">
        <v>115</v>
      </c>
      <c r="E7" s="1" t="s">
        <v>109</v>
      </c>
      <c r="I7" s="44"/>
    </row>
    <row r="8" spans="1:10" ht="18" x14ac:dyDescent="0.35">
      <c r="B8" s="43" t="s">
        <v>114</v>
      </c>
      <c r="C8" s="54">
        <v>1</v>
      </c>
      <c r="D8" s="2" t="s">
        <v>116</v>
      </c>
      <c r="E8" s="1" t="s">
        <v>111</v>
      </c>
      <c r="I8" s="44"/>
    </row>
    <row r="9" spans="1:10" hidden="1" x14ac:dyDescent="0.25">
      <c r="B9" s="45"/>
      <c r="C9" s="53"/>
      <c r="I9" s="44"/>
    </row>
    <row r="10" spans="1:10" hidden="1" x14ac:dyDescent="0.25">
      <c r="B10" s="45"/>
      <c r="C10" s="53"/>
      <c r="I10" s="44"/>
    </row>
    <row r="11" spans="1:10" hidden="1" x14ac:dyDescent="0.25">
      <c r="A11" s="2"/>
      <c r="B11" s="45"/>
      <c r="C11" s="53"/>
      <c r="I11" s="44"/>
    </row>
    <row r="12" spans="1:10" ht="18" x14ac:dyDescent="0.35">
      <c r="A12" s="2"/>
      <c r="B12" s="43" t="s">
        <v>108</v>
      </c>
      <c r="C12" s="55">
        <v>1000</v>
      </c>
      <c r="D12" s="7" t="s">
        <v>115</v>
      </c>
      <c r="E12" s="1" t="s">
        <v>110</v>
      </c>
      <c r="I12" s="44"/>
    </row>
    <row r="13" spans="1:10" hidden="1" x14ac:dyDescent="0.25">
      <c r="A13" s="2"/>
      <c r="B13" s="45"/>
      <c r="C13" s="30"/>
      <c r="I13" s="44"/>
    </row>
    <row r="14" spans="1:10" ht="18" x14ac:dyDescent="0.35">
      <c r="A14" s="2"/>
      <c r="B14" s="43" t="s">
        <v>113</v>
      </c>
      <c r="C14" s="54">
        <v>1</v>
      </c>
      <c r="D14" s="2" t="s">
        <v>116</v>
      </c>
      <c r="E14" s="1" t="s">
        <v>112</v>
      </c>
      <c r="I14" s="44"/>
    </row>
    <row r="15" spans="1:10" x14ac:dyDescent="0.25">
      <c r="A15" s="2"/>
      <c r="B15" s="43"/>
      <c r="I15" s="44"/>
    </row>
    <row r="16" spans="1:10" ht="18" x14ac:dyDescent="0.35">
      <c r="A16" s="2"/>
      <c r="B16" s="45" t="s">
        <v>17</v>
      </c>
      <c r="C16" s="37" t="str">
        <f>IFERROR((('Parallel LDO Calculator'!C16+('Parallel LDO Calculator'!C7/1000))*(1+(
(C7+(C7*(C8/100)))
/
(C12-(C12*(C14/100)))
))-'Parallel LDO Calculator'!C31)*1000,"")</f>
        <v/>
      </c>
      <c r="D16" s="2" t="s">
        <v>5</v>
      </c>
      <c r="E16" s="1" t="s">
        <v>104</v>
      </c>
      <c r="I16" s="44"/>
    </row>
    <row r="17" spans="1:9" ht="18.75" thickBot="1" x14ac:dyDescent="0.4">
      <c r="A17" s="2"/>
      <c r="B17" s="46" t="s">
        <v>18</v>
      </c>
      <c r="C17" s="47" t="str">
        <f>IFERROR((('Parallel LDO Calculator'!C16+('Parallel LDO Calculator'!C8/1000))*(1+(
(C7-(C7*(C8/100)))
/
(C12+(C12*(C14/100)))
))-'Parallel LDO Calculator'!C31)*1000,"")</f>
        <v/>
      </c>
      <c r="D17" s="50" t="s">
        <v>5</v>
      </c>
      <c r="E17" s="51" t="s">
        <v>105</v>
      </c>
      <c r="F17" s="51"/>
      <c r="G17" s="51"/>
      <c r="H17" s="51"/>
      <c r="I17" s="52"/>
    </row>
    <row r="18" spans="1:9" hidden="1" x14ac:dyDescent="0.25">
      <c r="A18" s="2"/>
      <c r="B18" s="43"/>
      <c r="I18" s="44"/>
    </row>
    <row r="19" spans="1:9" hidden="1" x14ac:dyDescent="0.25">
      <c r="A19" s="2"/>
      <c r="B19" s="43"/>
      <c r="I19" s="44"/>
    </row>
    <row r="20" spans="1:9" hidden="1" x14ac:dyDescent="0.25">
      <c r="A20" s="2"/>
      <c r="B20" s="43"/>
      <c r="I20" s="44"/>
    </row>
    <row r="21" spans="1:9" hidden="1" x14ac:dyDescent="0.25">
      <c r="A21" s="2"/>
      <c r="B21" s="43"/>
      <c r="I21" s="44"/>
    </row>
    <row r="22" spans="1:9" hidden="1" x14ac:dyDescent="0.25">
      <c r="A22" s="2"/>
      <c r="B22" s="43"/>
      <c r="I22" s="44"/>
    </row>
    <row r="23" spans="1:9" hidden="1" x14ac:dyDescent="0.25">
      <c r="A23" s="2"/>
      <c r="B23" s="43"/>
      <c r="I23" s="44"/>
    </row>
    <row r="24" spans="1:9" hidden="1" x14ac:dyDescent="0.25">
      <c r="A24" s="2"/>
      <c r="B24" s="43"/>
      <c r="I24" s="44"/>
    </row>
    <row r="25" spans="1:9" hidden="1" x14ac:dyDescent="0.25">
      <c r="A25" s="2"/>
      <c r="B25" s="43"/>
      <c r="I25" s="44"/>
    </row>
    <row r="29" spans="1:9" x14ac:dyDescent="0.25">
      <c r="A29" s="39"/>
    </row>
    <row r="33" hidden="1" x14ac:dyDescent="0.25"/>
    <row r="35" hidden="1" x14ac:dyDescent="0.25"/>
    <row r="36" hidden="1" x14ac:dyDescent="0.25"/>
    <row r="42" hidden="1" x14ac:dyDescent="0.25"/>
    <row r="43" hidden="1" x14ac:dyDescent="0.25"/>
    <row r="44" hidden="1" x14ac:dyDescent="0.25"/>
    <row r="45" hidden="1" x14ac:dyDescent="0.25"/>
    <row r="49" hidden="1" x14ac:dyDescent="0.25"/>
    <row r="50" hidden="1" x14ac:dyDescent="0.25"/>
    <row r="51" hidden="1" x14ac:dyDescent="0.25"/>
    <row r="52" hidden="1" x14ac:dyDescent="0.25"/>
    <row r="53" hidden="1" x14ac:dyDescent="0.25"/>
    <row r="54" hidden="1" x14ac:dyDescent="0.25"/>
  </sheetData>
  <sheetProtection algorithmName="SHA-512" hashValue="67IvkBzYwl9K2PCZN2fAgGCtv0qJ94wjDaPJY+pIHMHAZvJcBIKQ1rRF4g1pX/mi8iIxm/KmwA+fzXMg0ceIcQ==" saltValue="MPDLufgv0aI9+dPWVmXsMA==" spinCount="100000" sheet="1" selectLockedCells="1"/>
  <mergeCells count="1">
    <mergeCell ref="B2:I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172C-8F61-416A-92DB-28FD6F8E74FE}">
  <sheetPr codeName="Sheet3"/>
  <dimension ref="A1:AH17"/>
  <sheetViews>
    <sheetView workbookViewId="0">
      <selection activeCell="L22" sqref="L22"/>
    </sheetView>
  </sheetViews>
  <sheetFormatPr defaultColWidth="9.140625" defaultRowHeight="15" x14ac:dyDescent="0.25"/>
  <cols>
    <col min="1" max="1" width="37.42578125" style="1" bestFit="1" customWidth="1"/>
    <col min="2" max="2" width="6.7109375" style="1" bestFit="1" customWidth="1"/>
    <col min="3" max="4" width="11.7109375" style="1" customWidth="1"/>
    <col min="5" max="5" width="12.85546875" style="1" customWidth="1"/>
    <col min="6" max="6" width="10.42578125" style="1" customWidth="1"/>
    <col min="7" max="9" width="7.85546875" style="1" customWidth="1"/>
    <col min="10" max="10" width="8.42578125" style="1" bestFit="1" customWidth="1"/>
    <col min="11" max="11" width="8.42578125" style="1" customWidth="1"/>
    <col min="12" max="13" width="11.7109375" style="1" customWidth="1"/>
    <col min="14" max="15" width="11.140625" style="1" customWidth="1"/>
    <col min="16" max="17" width="11.7109375" style="1" customWidth="1"/>
    <col min="18" max="20" width="7.7109375" style="1" bestFit="1" customWidth="1"/>
    <col min="21" max="22" width="8.42578125" style="1" customWidth="1"/>
    <col min="23" max="25" width="12.42578125" style="1" bestFit="1" customWidth="1"/>
    <col min="26" max="26" width="9.85546875" style="1" customWidth="1"/>
    <col min="27" max="27" width="12.140625" style="1" bestFit="1" customWidth="1"/>
    <col min="28" max="28" width="13.140625" style="1" bestFit="1" customWidth="1"/>
    <col min="29" max="29" width="13.7109375" style="1" bestFit="1" customWidth="1"/>
    <col min="30" max="33" width="9.140625" style="1"/>
    <col min="34" max="34" width="13.7109375" style="1" customWidth="1"/>
    <col min="35" max="16384" width="9.140625" style="1"/>
  </cols>
  <sheetData>
    <row r="1" spans="1:34" x14ac:dyDescent="0.25">
      <c r="A1" s="30" t="s">
        <v>16</v>
      </c>
      <c r="B1" s="31" t="s">
        <v>1</v>
      </c>
      <c r="C1" s="31" t="s">
        <v>98</v>
      </c>
      <c r="D1" s="31" t="s">
        <v>148</v>
      </c>
      <c r="E1" s="30" t="s">
        <v>125</v>
      </c>
      <c r="F1" s="31" t="s">
        <v>65</v>
      </c>
      <c r="G1" s="31" t="s">
        <v>117</v>
      </c>
      <c r="H1" s="31" t="s">
        <v>118</v>
      </c>
      <c r="I1" s="31" t="s">
        <v>119</v>
      </c>
      <c r="J1" s="31" t="s">
        <v>143</v>
      </c>
      <c r="K1" s="31" t="s">
        <v>66</v>
      </c>
      <c r="L1" s="31" t="s">
        <v>132</v>
      </c>
      <c r="M1" s="31" t="s">
        <v>97</v>
      </c>
      <c r="N1" s="31" t="s">
        <v>130</v>
      </c>
      <c r="O1" s="31" t="s">
        <v>92</v>
      </c>
      <c r="P1" s="31" t="s">
        <v>131</v>
      </c>
      <c r="Q1" s="31" t="s">
        <v>99</v>
      </c>
      <c r="R1" s="31" t="s">
        <v>137</v>
      </c>
      <c r="S1" s="31" t="s">
        <v>138</v>
      </c>
      <c r="T1" s="31" t="s">
        <v>139</v>
      </c>
      <c r="U1" s="31" t="s">
        <v>67</v>
      </c>
      <c r="V1" s="31" t="s">
        <v>124</v>
      </c>
      <c r="W1" s="31" t="s">
        <v>144</v>
      </c>
      <c r="X1" s="31" t="s">
        <v>145</v>
      </c>
      <c r="Y1" s="31" t="s">
        <v>146</v>
      </c>
      <c r="Z1" s="31" t="s">
        <v>120</v>
      </c>
      <c r="AA1" s="31" t="s">
        <v>127</v>
      </c>
      <c r="AB1" s="31" t="s">
        <v>128</v>
      </c>
      <c r="AC1" s="31" t="s">
        <v>147</v>
      </c>
      <c r="AG1" s="31" t="s">
        <v>142</v>
      </c>
      <c r="AH1" s="31" t="s">
        <v>126</v>
      </c>
    </row>
    <row r="2" spans="1:34" ht="18" x14ac:dyDescent="0.35">
      <c r="A2" s="30" t="s">
        <v>17</v>
      </c>
      <c r="B2" s="31" t="s">
        <v>5</v>
      </c>
      <c r="C2" s="6">
        <v>11</v>
      </c>
      <c r="D2" s="6">
        <v>36</v>
      </c>
      <c r="E2" s="6">
        <v>36</v>
      </c>
      <c r="F2" s="6">
        <v>4</v>
      </c>
      <c r="G2" s="6">
        <v>2.5</v>
      </c>
      <c r="H2" s="6">
        <v>2.5</v>
      </c>
      <c r="I2" s="6">
        <v>2.5</v>
      </c>
      <c r="J2" s="6">
        <v>2</v>
      </c>
      <c r="K2" s="6">
        <v>2</v>
      </c>
      <c r="L2" s="6">
        <v>1.2</v>
      </c>
      <c r="M2" s="6">
        <v>1.2</v>
      </c>
      <c r="N2" s="6">
        <v>1.2</v>
      </c>
      <c r="O2" s="6">
        <v>1.2</v>
      </c>
      <c r="P2" s="6">
        <v>1.2</v>
      </c>
      <c r="Q2" s="6">
        <v>1.2</v>
      </c>
      <c r="R2" s="6">
        <v>2</v>
      </c>
      <c r="S2" s="6">
        <v>2</v>
      </c>
      <c r="T2" s="6">
        <v>2</v>
      </c>
      <c r="U2" s="6">
        <v>2</v>
      </c>
      <c r="V2" s="6">
        <v>2</v>
      </c>
      <c r="W2" s="6">
        <v>4</v>
      </c>
      <c r="X2" s="6">
        <v>6</v>
      </c>
      <c r="Y2" s="6">
        <v>6</v>
      </c>
      <c r="Z2" s="6">
        <v>5.5</v>
      </c>
      <c r="AA2" s="6">
        <v>0.78</v>
      </c>
      <c r="AB2" s="6">
        <v>0.78</v>
      </c>
      <c r="AC2" s="6">
        <v>3</v>
      </c>
      <c r="AG2" s="6"/>
      <c r="AH2" s="62">
        <v>11</v>
      </c>
    </row>
    <row r="3" spans="1:34" ht="18" x14ac:dyDescent="0.35">
      <c r="A3" s="30" t="s">
        <v>18</v>
      </c>
      <c r="B3" s="31" t="s">
        <v>5</v>
      </c>
      <c r="C3" s="6">
        <v>-7</v>
      </c>
      <c r="D3" s="6">
        <v>-36</v>
      </c>
      <c r="E3" s="6">
        <v>-36</v>
      </c>
      <c r="F3" s="6">
        <v>-4</v>
      </c>
      <c r="G3" s="6">
        <v>-2.5</v>
      </c>
      <c r="H3" s="6">
        <v>-2.5</v>
      </c>
      <c r="I3" s="6">
        <v>-2.5</v>
      </c>
      <c r="J3" s="6">
        <v>-2</v>
      </c>
      <c r="K3" s="6">
        <v>-2</v>
      </c>
      <c r="L3" s="6">
        <v>-1.2</v>
      </c>
      <c r="M3" s="6">
        <v>-1.2</v>
      </c>
      <c r="N3" s="6">
        <v>-1.2</v>
      </c>
      <c r="O3" s="6">
        <v>-1.2</v>
      </c>
      <c r="P3" s="6">
        <v>-1.2</v>
      </c>
      <c r="Q3" s="6">
        <v>-1.2</v>
      </c>
      <c r="R3" s="6">
        <v>-2</v>
      </c>
      <c r="S3" s="6">
        <v>-2</v>
      </c>
      <c r="T3" s="6">
        <v>-2</v>
      </c>
      <c r="U3" s="6">
        <v>-2</v>
      </c>
      <c r="V3" s="6">
        <v>-2</v>
      </c>
      <c r="W3" s="6">
        <v>-4</v>
      </c>
      <c r="X3" s="6">
        <v>-6</v>
      </c>
      <c r="Y3" s="6">
        <v>-6</v>
      </c>
      <c r="Z3" s="6">
        <v>-5.75</v>
      </c>
      <c r="AA3" s="6">
        <v>-2</v>
      </c>
      <c r="AB3" s="6">
        <v>-2</v>
      </c>
      <c r="AC3" s="6">
        <v>-3</v>
      </c>
      <c r="AG3" s="6"/>
      <c r="AH3" s="62">
        <v>-7</v>
      </c>
    </row>
    <row r="4" spans="1:34" x14ac:dyDescent="0.25">
      <c r="A4" s="30" t="s">
        <v>0</v>
      </c>
      <c r="B4" s="31" t="s">
        <v>3</v>
      </c>
      <c r="C4" s="6">
        <v>1</v>
      </c>
      <c r="D4" s="6">
        <v>1.5</v>
      </c>
      <c r="E4" s="6">
        <v>1.5</v>
      </c>
      <c r="F4" s="6">
        <v>1</v>
      </c>
      <c r="G4" s="6">
        <v>2</v>
      </c>
      <c r="H4" s="6">
        <v>3</v>
      </c>
      <c r="I4" s="6">
        <v>4</v>
      </c>
      <c r="J4" s="6">
        <v>6</v>
      </c>
      <c r="K4" s="6">
        <v>5</v>
      </c>
      <c r="L4" s="6">
        <v>2</v>
      </c>
      <c r="M4" s="6">
        <v>2</v>
      </c>
      <c r="N4" s="6">
        <v>3</v>
      </c>
      <c r="O4" s="6">
        <v>3</v>
      </c>
      <c r="P4" s="6">
        <v>4</v>
      </c>
      <c r="Q4" s="6">
        <v>4</v>
      </c>
      <c r="R4" s="6">
        <v>0.5</v>
      </c>
      <c r="S4" s="6">
        <v>1</v>
      </c>
      <c r="T4" s="6">
        <v>2</v>
      </c>
      <c r="U4" s="6">
        <v>1</v>
      </c>
      <c r="V4" s="6">
        <v>2</v>
      </c>
      <c r="W4" s="6">
        <v>0.3</v>
      </c>
      <c r="X4" s="6">
        <v>0.3</v>
      </c>
      <c r="Y4" s="6">
        <v>0.3</v>
      </c>
      <c r="Z4" s="6">
        <v>0.3</v>
      </c>
      <c r="AA4" s="6">
        <v>1.5</v>
      </c>
      <c r="AB4" s="6">
        <v>1.5</v>
      </c>
      <c r="AC4" s="6">
        <v>10</v>
      </c>
      <c r="AG4" s="6"/>
      <c r="AH4" s="63">
        <v>1</v>
      </c>
    </row>
    <row r="5" spans="1:34" x14ac:dyDescent="0.25">
      <c r="A5" s="30" t="s">
        <v>12</v>
      </c>
      <c r="B5" s="31" t="s">
        <v>2</v>
      </c>
      <c r="C5" s="6">
        <v>0.8</v>
      </c>
      <c r="D5" s="6">
        <v>0.42</v>
      </c>
      <c r="E5" s="6">
        <v>0.42</v>
      </c>
      <c r="F5" s="6">
        <v>0.307</v>
      </c>
      <c r="G5" s="6">
        <v>0.125</v>
      </c>
      <c r="H5" s="6">
        <v>0.17499999999999999</v>
      </c>
      <c r="I5" s="6">
        <v>0.23499999999999999</v>
      </c>
      <c r="J5" s="6">
        <v>0.13200000000000001</v>
      </c>
      <c r="K5" s="6">
        <v>0.11</v>
      </c>
      <c r="L5" s="6">
        <v>0.222</v>
      </c>
      <c r="M5" s="6">
        <v>0.222</v>
      </c>
      <c r="N5" s="6">
        <v>0.222</v>
      </c>
      <c r="O5" s="6">
        <v>0.222</v>
      </c>
      <c r="P5" s="6">
        <v>0.222</v>
      </c>
      <c r="Q5" s="6">
        <v>0.222</v>
      </c>
      <c r="R5" s="6">
        <v>0.1</v>
      </c>
      <c r="S5" s="6">
        <v>0.2</v>
      </c>
      <c r="T5" s="6">
        <v>0.4</v>
      </c>
      <c r="U5" s="6">
        <v>0.24</v>
      </c>
      <c r="V5" s="6">
        <v>0.24</v>
      </c>
      <c r="W5" s="6">
        <v>0.7</v>
      </c>
      <c r="X5" s="6">
        <v>0.7</v>
      </c>
      <c r="Y5" s="6">
        <v>0.7</v>
      </c>
      <c r="Z5" s="6">
        <v>1.5</v>
      </c>
      <c r="AA5" s="6">
        <v>0.43</v>
      </c>
      <c r="AB5" s="6">
        <v>0.43</v>
      </c>
      <c r="AC5" s="6">
        <v>0.22</v>
      </c>
      <c r="AG5" s="6"/>
      <c r="AH5" s="63">
        <v>0.8</v>
      </c>
    </row>
    <row r="6" spans="1:34" x14ac:dyDescent="0.25">
      <c r="A6" s="30" t="s">
        <v>14</v>
      </c>
      <c r="B6" s="32" t="s">
        <v>30</v>
      </c>
      <c r="C6" s="6">
        <v>16</v>
      </c>
      <c r="D6" s="6">
        <v>50</v>
      </c>
      <c r="E6" s="6">
        <v>50</v>
      </c>
      <c r="F6" s="6">
        <v>4.67</v>
      </c>
      <c r="G6" s="6">
        <v>4.4000000000000004</v>
      </c>
      <c r="H6" s="6">
        <v>4.4000000000000004</v>
      </c>
      <c r="I6" s="6">
        <v>4.4000000000000004</v>
      </c>
      <c r="J6" s="6">
        <v>2.4900000000000002</v>
      </c>
      <c r="K6" s="6">
        <v>2.4500000000000002</v>
      </c>
      <c r="L6" s="6">
        <v>6</v>
      </c>
      <c r="M6" s="6">
        <v>4.4000000000000004</v>
      </c>
      <c r="N6" s="6">
        <v>4.4000000000000004</v>
      </c>
      <c r="O6" s="6">
        <v>4.4000000000000004</v>
      </c>
      <c r="P6" s="6">
        <v>4.4000000000000004</v>
      </c>
      <c r="Q6" s="6">
        <v>4.4000000000000004</v>
      </c>
      <c r="R6" s="6">
        <v>4.7</v>
      </c>
      <c r="S6" s="6">
        <v>4.7</v>
      </c>
      <c r="T6" s="6">
        <v>4.5999999999999996</v>
      </c>
      <c r="U6" s="6">
        <v>0.46</v>
      </c>
      <c r="V6" s="6">
        <v>0.46</v>
      </c>
      <c r="W6" s="6">
        <v>150</v>
      </c>
      <c r="X6" s="6">
        <v>150</v>
      </c>
      <c r="Y6" s="6">
        <v>150</v>
      </c>
      <c r="Z6" s="6">
        <v>167</v>
      </c>
      <c r="AA6" s="6">
        <v>1.69</v>
      </c>
      <c r="AB6" s="6">
        <v>1.69</v>
      </c>
      <c r="AC6" s="6">
        <v>2.72</v>
      </c>
      <c r="AG6" s="6"/>
      <c r="AH6" s="63">
        <v>16</v>
      </c>
    </row>
    <row r="7" spans="1:34" ht="18" x14ac:dyDescent="0.35">
      <c r="A7" s="30" t="s">
        <v>19</v>
      </c>
      <c r="B7" s="32" t="s">
        <v>13</v>
      </c>
      <c r="C7" s="6">
        <v>33.700000000000003</v>
      </c>
      <c r="D7" s="6">
        <v>6.6</v>
      </c>
      <c r="E7" s="6">
        <v>6.6</v>
      </c>
      <c r="F7" s="6">
        <v>32.5</v>
      </c>
      <c r="G7" s="6">
        <v>46.5</v>
      </c>
      <c r="H7" s="6">
        <v>46.5</v>
      </c>
      <c r="I7" s="6">
        <v>46.5</v>
      </c>
      <c r="J7" s="6">
        <v>21.9</v>
      </c>
      <c r="K7" s="6">
        <v>21.9</v>
      </c>
      <c r="L7" s="6">
        <v>33.6</v>
      </c>
      <c r="M7" s="6">
        <v>33.4</v>
      </c>
      <c r="N7" s="6">
        <v>35.4</v>
      </c>
      <c r="O7" s="6">
        <v>43.4</v>
      </c>
      <c r="P7" s="6">
        <v>35.4</v>
      </c>
      <c r="Q7" s="6">
        <v>43.4</v>
      </c>
      <c r="R7" s="6">
        <v>56.9</v>
      </c>
      <c r="S7" s="6">
        <v>56.9</v>
      </c>
      <c r="T7" s="6">
        <v>56.9</v>
      </c>
      <c r="U7" s="6">
        <v>46.1</v>
      </c>
      <c r="V7" s="6">
        <v>46.1</v>
      </c>
      <c r="W7" s="6">
        <v>45.4</v>
      </c>
      <c r="X7" s="6">
        <v>48</v>
      </c>
      <c r="Y7" s="6">
        <v>48</v>
      </c>
      <c r="Z7" s="6">
        <v>40.299999999999997</v>
      </c>
      <c r="AA7" s="6">
        <v>24.7</v>
      </c>
      <c r="AB7" s="6">
        <v>24.7</v>
      </c>
      <c r="AC7" s="6">
        <v>14.3</v>
      </c>
      <c r="AG7" s="6"/>
      <c r="AH7" s="63">
        <v>32.700000000000003</v>
      </c>
    </row>
    <row r="8" spans="1:34" ht="18" x14ac:dyDescent="0.35">
      <c r="A8" s="56" t="s">
        <v>101</v>
      </c>
      <c r="B8" s="31" t="s">
        <v>2</v>
      </c>
      <c r="C8" s="6">
        <v>1.175</v>
      </c>
      <c r="D8" s="6">
        <v>1.21</v>
      </c>
      <c r="E8" s="6">
        <v>1.21</v>
      </c>
      <c r="F8" s="6" t="s">
        <v>121</v>
      </c>
      <c r="G8" s="6">
        <v>0.8</v>
      </c>
      <c r="H8" s="6">
        <v>0.8</v>
      </c>
      <c r="I8" s="6">
        <v>0.8</v>
      </c>
      <c r="J8" s="6" t="s">
        <v>121</v>
      </c>
      <c r="K8" s="6" t="s">
        <v>121</v>
      </c>
      <c r="L8" s="6">
        <v>0.8</v>
      </c>
      <c r="M8" s="6">
        <v>0.5</v>
      </c>
      <c r="N8" s="6">
        <v>0.8</v>
      </c>
      <c r="O8" s="6">
        <v>0.5</v>
      </c>
      <c r="P8" s="6">
        <v>0.8</v>
      </c>
      <c r="Q8" s="6">
        <v>0.5</v>
      </c>
      <c r="R8" s="6">
        <v>0.8</v>
      </c>
      <c r="S8" s="6">
        <v>0.8</v>
      </c>
      <c r="T8" s="6">
        <v>0.8</v>
      </c>
      <c r="U8" s="6" t="s">
        <v>121</v>
      </c>
      <c r="V8" s="6" t="s">
        <v>121</v>
      </c>
      <c r="W8" s="6">
        <v>3.3</v>
      </c>
      <c r="X8" s="6">
        <v>3.3</v>
      </c>
      <c r="Y8" s="6">
        <v>3.3</v>
      </c>
      <c r="Z8" s="6">
        <v>1.2330000000000001</v>
      </c>
      <c r="AA8" s="6" t="s">
        <v>121</v>
      </c>
      <c r="AB8" s="6" t="s">
        <v>121</v>
      </c>
      <c r="AC8" s="6" t="s">
        <v>121</v>
      </c>
      <c r="AG8" s="6"/>
      <c r="AH8" s="63">
        <v>1.1819999999999999</v>
      </c>
    </row>
    <row r="10" spans="1:34" ht="18" x14ac:dyDescent="0.35">
      <c r="A10" s="30" t="s">
        <v>20</v>
      </c>
      <c r="B10" s="32" t="s">
        <v>4</v>
      </c>
      <c r="C10" s="6">
        <v>40</v>
      </c>
      <c r="D10" s="6">
        <v>85</v>
      </c>
      <c r="E10" s="6">
        <v>85</v>
      </c>
      <c r="F10" s="34">
        <v>25</v>
      </c>
      <c r="G10" s="34">
        <v>25</v>
      </c>
      <c r="H10" s="34">
        <v>25</v>
      </c>
      <c r="I10" s="34">
        <v>25</v>
      </c>
      <c r="J10" s="6">
        <v>25</v>
      </c>
      <c r="K10" s="6">
        <v>85</v>
      </c>
      <c r="L10" s="6">
        <v>60</v>
      </c>
      <c r="M10" s="6">
        <v>60</v>
      </c>
      <c r="N10" s="6">
        <v>85</v>
      </c>
      <c r="O10" s="6">
        <v>85</v>
      </c>
      <c r="P10" s="6">
        <v>60</v>
      </c>
      <c r="Q10" s="6">
        <v>60</v>
      </c>
      <c r="R10" s="6">
        <v>25</v>
      </c>
      <c r="S10" s="6">
        <v>25</v>
      </c>
      <c r="T10" s="6">
        <v>25</v>
      </c>
      <c r="U10" s="6">
        <v>25</v>
      </c>
      <c r="V10" s="6">
        <v>25</v>
      </c>
      <c r="W10" s="6">
        <v>25</v>
      </c>
      <c r="X10" s="6">
        <v>25</v>
      </c>
      <c r="Y10" s="6">
        <v>25</v>
      </c>
      <c r="Z10" s="6">
        <v>25</v>
      </c>
      <c r="AA10" s="6">
        <v>25</v>
      </c>
      <c r="AB10" s="6">
        <v>25</v>
      </c>
      <c r="AC10" s="6">
        <v>85</v>
      </c>
      <c r="AG10" s="6"/>
      <c r="AH10" s="6">
        <v>40</v>
      </c>
    </row>
    <row r="11" spans="1:34" ht="18" x14ac:dyDescent="0.35">
      <c r="A11" s="30" t="s">
        <v>23</v>
      </c>
      <c r="B11" s="32" t="s">
        <v>4</v>
      </c>
      <c r="C11" s="6">
        <v>125</v>
      </c>
      <c r="D11" s="6">
        <v>125</v>
      </c>
      <c r="E11" s="6">
        <v>125</v>
      </c>
      <c r="F11" s="34">
        <v>125</v>
      </c>
      <c r="G11" s="34">
        <v>125</v>
      </c>
      <c r="H11" s="34">
        <v>125</v>
      </c>
      <c r="I11" s="34">
        <v>125</v>
      </c>
      <c r="J11" s="6">
        <v>125</v>
      </c>
      <c r="K11" s="6">
        <v>125</v>
      </c>
      <c r="L11" s="6">
        <v>125</v>
      </c>
      <c r="M11" s="6">
        <v>125</v>
      </c>
      <c r="N11" s="6">
        <v>125</v>
      </c>
      <c r="O11" s="6">
        <v>125</v>
      </c>
      <c r="P11" s="6">
        <v>125</v>
      </c>
      <c r="Q11" s="6">
        <v>125</v>
      </c>
      <c r="R11" s="6">
        <v>125</v>
      </c>
      <c r="S11" s="6">
        <v>125</v>
      </c>
      <c r="T11" s="6">
        <v>125</v>
      </c>
      <c r="U11" s="6">
        <v>125</v>
      </c>
      <c r="V11" s="6">
        <v>125</v>
      </c>
      <c r="W11" s="6">
        <v>125</v>
      </c>
      <c r="X11" s="6">
        <v>125</v>
      </c>
      <c r="Y11" s="6">
        <v>125</v>
      </c>
      <c r="Z11" s="6">
        <v>125</v>
      </c>
      <c r="AA11" s="6">
        <v>125</v>
      </c>
      <c r="AB11" s="6">
        <v>125</v>
      </c>
      <c r="AC11" s="6">
        <v>125</v>
      </c>
      <c r="AG11" s="6"/>
      <c r="AH11" s="6">
        <v>125</v>
      </c>
    </row>
    <row r="12" spans="1:34" ht="18" x14ac:dyDescent="0.35">
      <c r="A12" s="30" t="s">
        <v>21</v>
      </c>
      <c r="B12" s="31" t="s">
        <v>2</v>
      </c>
      <c r="C12" s="6">
        <v>6</v>
      </c>
      <c r="D12" s="6">
        <v>18</v>
      </c>
      <c r="E12" s="6">
        <v>18</v>
      </c>
      <c r="F12" s="34">
        <v>15</v>
      </c>
      <c r="G12" s="34">
        <v>1.3</v>
      </c>
      <c r="H12" s="34">
        <v>1.3</v>
      </c>
      <c r="I12" s="34">
        <v>1.3</v>
      </c>
      <c r="J12" s="6">
        <v>1.25</v>
      </c>
      <c r="K12" s="6">
        <v>1.25</v>
      </c>
      <c r="L12" s="6">
        <v>3.5</v>
      </c>
      <c r="M12" s="6">
        <v>3.5</v>
      </c>
      <c r="N12" s="6">
        <v>1.2</v>
      </c>
      <c r="O12" s="6">
        <v>1.2</v>
      </c>
      <c r="P12" s="6">
        <v>3.5</v>
      </c>
      <c r="Q12" s="6">
        <v>3.5</v>
      </c>
      <c r="R12" s="6">
        <v>5</v>
      </c>
      <c r="S12" s="6">
        <v>5</v>
      </c>
      <c r="T12" s="6">
        <v>5</v>
      </c>
      <c r="U12" s="6">
        <v>5</v>
      </c>
      <c r="V12" s="6">
        <v>5</v>
      </c>
      <c r="W12" s="6">
        <v>5</v>
      </c>
      <c r="X12" s="6">
        <v>5</v>
      </c>
      <c r="Y12" s="6">
        <v>5</v>
      </c>
      <c r="Z12" s="6">
        <v>18</v>
      </c>
      <c r="AA12" s="6">
        <v>2.5</v>
      </c>
      <c r="AB12" s="6">
        <v>2.5</v>
      </c>
      <c r="AC12" s="6">
        <v>1.2</v>
      </c>
      <c r="AG12" s="6"/>
      <c r="AH12" s="6">
        <v>6</v>
      </c>
    </row>
    <row r="13" spans="1:34" ht="18" x14ac:dyDescent="0.35">
      <c r="A13" s="30" t="s">
        <v>22</v>
      </c>
      <c r="B13" s="31" t="s">
        <v>2</v>
      </c>
      <c r="C13" s="6">
        <v>5</v>
      </c>
      <c r="D13" s="6">
        <v>15</v>
      </c>
      <c r="E13" s="6">
        <v>15</v>
      </c>
      <c r="F13" s="34">
        <v>12</v>
      </c>
      <c r="G13" s="34">
        <v>1.1000000000000001</v>
      </c>
      <c r="H13" s="34">
        <v>1.1000000000000001</v>
      </c>
      <c r="I13" s="34">
        <v>1.1000000000000001</v>
      </c>
      <c r="J13" s="6">
        <v>0.75</v>
      </c>
      <c r="K13" s="6">
        <v>0.75</v>
      </c>
      <c r="L13" s="6">
        <v>1</v>
      </c>
      <c r="M13" s="6">
        <v>1</v>
      </c>
      <c r="N13" s="6">
        <v>0.97</v>
      </c>
      <c r="O13" s="6">
        <v>0.97</v>
      </c>
      <c r="P13" s="6">
        <v>1</v>
      </c>
      <c r="Q13" s="6">
        <v>1</v>
      </c>
      <c r="R13" s="6">
        <v>1</v>
      </c>
      <c r="S13" s="6">
        <v>1</v>
      </c>
      <c r="T13" s="6">
        <v>1</v>
      </c>
      <c r="U13" s="6">
        <v>4</v>
      </c>
      <c r="V13" s="6">
        <v>4</v>
      </c>
      <c r="W13" s="6">
        <v>3.3</v>
      </c>
      <c r="X13" s="6">
        <v>3.3</v>
      </c>
      <c r="Y13" s="6">
        <v>3.3</v>
      </c>
      <c r="Z13" s="6">
        <v>15</v>
      </c>
      <c r="AA13" s="6">
        <v>1.8</v>
      </c>
      <c r="AB13" s="6">
        <v>1.8</v>
      </c>
      <c r="AC13" s="6">
        <v>0.9</v>
      </c>
      <c r="AG13" s="6"/>
      <c r="AH13" s="6">
        <v>5</v>
      </c>
    </row>
    <row r="14" spans="1:34" x14ac:dyDescent="0.25">
      <c r="A14" s="30" t="s">
        <v>6</v>
      </c>
      <c r="B14" s="31" t="s">
        <v>2</v>
      </c>
      <c r="C14" s="6">
        <v>0.15</v>
      </c>
      <c r="D14" s="6">
        <f>1%*D13</f>
        <v>0.15</v>
      </c>
      <c r="E14" s="6">
        <f>1%*E13</f>
        <v>0.15</v>
      </c>
      <c r="F14" s="34">
        <f>F13*0.005</f>
        <v>0.06</v>
      </c>
      <c r="G14" s="34">
        <v>2.1999999999999999E-2</v>
      </c>
      <c r="H14" s="34">
        <v>2.1999999999999999E-2</v>
      </c>
      <c r="I14" s="34">
        <v>2.1999999999999999E-2</v>
      </c>
      <c r="J14" s="6">
        <v>0.02</v>
      </c>
      <c r="K14" s="6">
        <v>0.02</v>
      </c>
      <c r="L14" s="6">
        <v>0.04</v>
      </c>
      <c r="M14" s="6">
        <v>0.04</v>
      </c>
      <c r="N14" s="6">
        <v>0.04</v>
      </c>
      <c r="O14" s="6">
        <v>0.04</v>
      </c>
      <c r="P14" s="6">
        <v>0.04</v>
      </c>
      <c r="Q14" s="6">
        <v>0.04</v>
      </c>
      <c r="R14" s="6">
        <v>0.02</v>
      </c>
      <c r="S14" s="6">
        <v>0.02</v>
      </c>
      <c r="T14" s="6">
        <v>0.02</v>
      </c>
      <c r="U14" s="6">
        <v>0.04</v>
      </c>
      <c r="V14" s="6">
        <v>0.04</v>
      </c>
      <c r="W14" s="6">
        <v>0.04</v>
      </c>
      <c r="X14" s="6">
        <v>0.04</v>
      </c>
      <c r="Y14" s="6">
        <v>0.04</v>
      </c>
      <c r="Z14" s="6">
        <v>0.3</v>
      </c>
      <c r="AA14" s="6">
        <v>0.05</v>
      </c>
      <c r="AB14" s="6">
        <v>0.05</v>
      </c>
      <c r="AC14" s="6">
        <v>0.02</v>
      </c>
      <c r="AG14" s="6"/>
      <c r="AH14" s="6">
        <v>0.15</v>
      </c>
    </row>
    <row r="15" spans="1:34" x14ac:dyDescent="0.25">
      <c r="A15" s="30" t="s">
        <v>11</v>
      </c>
      <c r="B15" s="32" t="s">
        <v>30</v>
      </c>
      <c r="C15" s="34">
        <v>16</v>
      </c>
      <c r="D15" s="34">
        <v>50</v>
      </c>
      <c r="E15" s="34">
        <v>50</v>
      </c>
      <c r="F15" s="34">
        <f>F6</f>
        <v>4.67</v>
      </c>
      <c r="G15" s="34">
        <v>4.4000000000000004</v>
      </c>
      <c r="H15" s="34">
        <v>4.4000000000000004</v>
      </c>
      <c r="I15" s="34">
        <v>4.4000000000000004</v>
      </c>
      <c r="J15" s="34">
        <f>J6</f>
        <v>2.4900000000000002</v>
      </c>
      <c r="K15" s="34">
        <f>K6</f>
        <v>2.4500000000000002</v>
      </c>
      <c r="L15" s="34">
        <v>4.4000000000000004</v>
      </c>
      <c r="M15" s="34">
        <v>4.4000000000000004</v>
      </c>
      <c r="N15" s="34">
        <v>4.4000000000000004</v>
      </c>
      <c r="O15" s="34">
        <v>4.4000000000000004</v>
      </c>
      <c r="P15" s="34">
        <v>4.4000000000000004</v>
      </c>
      <c r="Q15" s="34">
        <v>4.4000000000000004</v>
      </c>
      <c r="R15" s="34">
        <f>R6</f>
        <v>4.7</v>
      </c>
      <c r="S15" s="34">
        <f t="shared" ref="S15:T15" si="0">S6</f>
        <v>4.7</v>
      </c>
      <c r="T15" s="34">
        <f t="shared" si="0"/>
        <v>4.5999999999999996</v>
      </c>
      <c r="U15" s="34">
        <f>U6</f>
        <v>0.46</v>
      </c>
      <c r="V15" s="34">
        <f>V6</f>
        <v>0.46</v>
      </c>
      <c r="W15" s="34">
        <v>150</v>
      </c>
      <c r="X15" s="34">
        <v>150</v>
      </c>
      <c r="Y15" s="34">
        <v>150</v>
      </c>
      <c r="Z15" s="34">
        <v>167</v>
      </c>
      <c r="AA15" s="34">
        <f>AA6</f>
        <v>1.69</v>
      </c>
      <c r="AB15" s="34">
        <f>AB6</f>
        <v>1.69</v>
      </c>
      <c r="AC15" s="34">
        <f>AC6</f>
        <v>2.72</v>
      </c>
      <c r="AG15" s="34"/>
      <c r="AH15" s="34">
        <v>16</v>
      </c>
    </row>
    <row r="16" spans="1:34" x14ac:dyDescent="0.25">
      <c r="A16" s="30" t="s">
        <v>15</v>
      </c>
      <c r="B16" s="31" t="s">
        <v>3</v>
      </c>
      <c r="C16" s="6">
        <v>9</v>
      </c>
      <c r="D16" s="6">
        <v>3</v>
      </c>
      <c r="E16" s="6">
        <v>3</v>
      </c>
      <c r="F16" s="34">
        <v>2.5</v>
      </c>
      <c r="G16" s="34">
        <v>5.4</v>
      </c>
      <c r="H16" s="34">
        <v>5.4</v>
      </c>
      <c r="I16" s="34">
        <v>5.4</v>
      </c>
      <c r="J16" s="6">
        <v>15</v>
      </c>
      <c r="K16" s="6">
        <v>13.5</v>
      </c>
      <c r="L16" s="6">
        <v>2</v>
      </c>
      <c r="M16" s="6">
        <v>2</v>
      </c>
      <c r="N16" s="6">
        <v>5</v>
      </c>
      <c r="O16" s="6">
        <v>5</v>
      </c>
      <c r="P16" s="6">
        <v>2</v>
      </c>
      <c r="Q16" s="6">
        <v>2</v>
      </c>
      <c r="R16" s="6">
        <v>0.7</v>
      </c>
      <c r="S16" s="6">
        <f>R16*2</f>
        <v>1.4</v>
      </c>
      <c r="T16" s="6">
        <f>S16*2</f>
        <v>2.8</v>
      </c>
      <c r="U16" s="6">
        <v>2.5</v>
      </c>
      <c r="V16" s="6">
        <v>2.5</v>
      </c>
      <c r="W16" s="6">
        <v>0.6</v>
      </c>
      <c r="X16" s="6">
        <v>0.6</v>
      </c>
      <c r="Y16" s="6">
        <v>0.6</v>
      </c>
      <c r="Z16" s="6">
        <v>0.5</v>
      </c>
      <c r="AA16" s="6">
        <v>2.9</v>
      </c>
      <c r="AB16" s="6">
        <v>2.9</v>
      </c>
      <c r="AC16" s="6">
        <v>18</v>
      </c>
      <c r="AG16" s="6"/>
      <c r="AH16" s="6">
        <v>3</v>
      </c>
    </row>
    <row r="17" spans="1:34" x14ac:dyDescent="0.25">
      <c r="A17" s="30" t="s">
        <v>34</v>
      </c>
      <c r="B17" s="31" t="s">
        <v>3</v>
      </c>
      <c r="C17" s="6">
        <f>C4</f>
        <v>1</v>
      </c>
      <c r="D17" s="6">
        <f>D4</f>
        <v>1.5</v>
      </c>
      <c r="E17" s="6">
        <f>E4</f>
        <v>1.5</v>
      </c>
      <c r="F17" s="34">
        <v>1</v>
      </c>
      <c r="G17" s="34">
        <f>G4</f>
        <v>2</v>
      </c>
      <c r="H17" s="34">
        <f>H4</f>
        <v>3</v>
      </c>
      <c r="I17" s="34">
        <f>I4</f>
        <v>4</v>
      </c>
      <c r="J17" s="6">
        <f>J4</f>
        <v>6</v>
      </c>
      <c r="K17" s="6">
        <v>5</v>
      </c>
      <c r="L17" s="6">
        <f t="shared" ref="L17:T17" si="1">L4</f>
        <v>2</v>
      </c>
      <c r="M17" s="6">
        <f t="shared" si="1"/>
        <v>2</v>
      </c>
      <c r="N17" s="6">
        <f t="shared" si="1"/>
        <v>3</v>
      </c>
      <c r="O17" s="6">
        <f t="shared" si="1"/>
        <v>3</v>
      </c>
      <c r="P17" s="6">
        <f t="shared" si="1"/>
        <v>4</v>
      </c>
      <c r="Q17" s="6">
        <f t="shared" si="1"/>
        <v>4</v>
      </c>
      <c r="R17" s="6">
        <f t="shared" si="1"/>
        <v>0.5</v>
      </c>
      <c r="S17" s="6">
        <f t="shared" si="1"/>
        <v>1</v>
      </c>
      <c r="T17" s="6">
        <f t="shared" si="1"/>
        <v>2</v>
      </c>
      <c r="U17" s="6">
        <v>1</v>
      </c>
      <c r="V17" s="6">
        <v>2</v>
      </c>
      <c r="W17" s="6">
        <f t="shared" ref="W17:X17" si="2">W4</f>
        <v>0.3</v>
      </c>
      <c r="X17" s="6">
        <f t="shared" si="2"/>
        <v>0.3</v>
      </c>
      <c r="Y17" s="6">
        <f t="shared" ref="Y17" si="3">Y4</f>
        <v>0.3</v>
      </c>
      <c r="Z17" s="6">
        <v>0.3</v>
      </c>
      <c r="AA17" s="6">
        <f>AA4</f>
        <v>1.5</v>
      </c>
      <c r="AB17" s="6">
        <f>AB4</f>
        <v>1.5</v>
      </c>
      <c r="AC17" s="6">
        <f>AC4</f>
        <v>10</v>
      </c>
      <c r="AG17" s="6"/>
      <c r="AH17" s="6">
        <f>AH4</f>
        <v>1</v>
      </c>
    </row>
  </sheetData>
  <sheetProtection algorithmName="SHA-512" hashValue="7ui23kQbmyWYBm+vdu/dBU6+j12QbZYnXfTnaeioMNMOgUShmLq6rVlLQlSQ3p9WYPYpAu0qNjEfK1ok1WeG1Q==" saltValue="UYjTCEvChn35VLFRid98xg==" spinCount="100000" sheet="1"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9770D-14AF-41DA-ADE5-ED452D7BB6B1}">
  <sheetPr codeName="Sheet10"/>
  <dimension ref="A1:AM45"/>
  <sheetViews>
    <sheetView showGridLines="0" showRowColHeaders="0" zoomScaleNormal="100" workbookViewId="0">
      <selection activeCell="B37" sqref="B37:K37"/>
    </sheetView>
  </sheetViews>
  <sheetFormatPr defaultColWidth="9.140625" defaultRowHeight="14.25" x14ac:dyDescent="0.2"/>
  <cols>
    <col min="1" max="1" width="25.7109375" style="18" bestFit="1" customWidth="1"/>
    <col min="2" max="2" width="56.5703125" style="19" customWidth="1"/>
    <col min="3" max="11" width="9.140625" style="11"/>
    <col min="12" max="12" width="20.42578125" style="11" customWidth="1"/>
    <col min="13" max="16384" width="9.140625" style="11"/>
  </cols>
  <sheetData>
    <row r="1" spans="1:12" ht="15" customHeight="1" x14ac:dyDescent="0.2">
      <c r="A1" s="116"/>
      <c r="B1" s="116"/>
      <c r="C1" s="116"/>
      <c r="D1" s="116"/>
      <c r="E1" s="116"/>
      <c r="F1" s="116"/>
      <c r="G1" s="116"/>
      <c r="H1" s="116"/>
      <c r="I1" s="116"/>
      <c r="J1" s="116"/>
      <c r="K1" s="116"/>
      <c r="L1" s="116"/>
    </row>
    <row r="2" spans="1:12" ht="15" customHeight="1" x14ac:dyDescent="0.2">
      <c r="A2" s="116"/>
      <c r="B2" s="116"/>
      <c r="C2" s="116"/>
      <c r="D2" s="116"/>
      <c r="E2" s="116"/>
      <c r="F2" s="116"/>
      <c r="G2" s="116"/>
      <c r="H2" s="116"/>
      <c r="I2" s="116"/>
      <c r="J2" s="116"/>
      <c r="K2" s="116"/>
      <c r="L2" s="116"/>
    </row>
    <row r="3" spans="1:12" ht="15" customHeight="1" x14ac:dyDescent="0.2">
      <c r="A3" s="116"/>
      <c r="B3" s="116"/>
      <c r="C3" s="116"/>
      <c r="D3" s="116"/>
      <c r="E3" s="116"/>
      <c r="F3" s="116"/>
      <c r="G3" s="116"/>
      <c r="H3" s="116"/>
      <c r="I3" s="116"/>
      <c r="J3" s="116"/>
      <c r="K3" s="116"/>
      <c r="L3" s="116"/>
    </row>
    <row r="4" spans="1:12" ht="15" customHeight="1" x14ac:dyDescent="0.2">
      <c r="A4" s="12"/>
      <c r="B4" s="12"/>
      <c r="C4" s="12"/>
      <c r="D4" s="12"/>
      <c r="E4" s="12"/>
      <c r="F4" s="12"/>
      <c r="G4" s="12"/>
      <c r="H4" s="12"/>
      <c r="I4" s="12"/>
      <c r="J4" s="12"/>
      <c r="K4" s="12"/>
      <c r="L4" s="12"/>
    </row>
    <row r="5" spans="1:12" x14ac:dyDescent="0.2">
      <c r="A5" s="13" t="s">
        <v>46</v>
      </c>
      <c r="B5" s="14" t="s">
        <v>149</v>
      </c>
      <c r="C5" s="15"/>
      <c r="D5" s="15"/>
      <c r="E5" s="15"/>
      <c r="F5" s="15"/>
      <c r="G5" s="15"/>
      <c r="H5" s="15"/>
      <c r="I5" s="15"/>
      <c r="J5" s="15"/>
      <c r="K5" s="16"/>
      <c r="L5" s="17"/>
    </row>
    <row r="6" spans="1:12" x14ac:dyDescent="0.2">
      <c r="A6" s="13" t="s">
        <v>48</v>
      </c>
      <c r="B6" s="14" t="s">
        <v>57</v>
      </c>
      <c r="C6" s="15"/>
      <c r="D6" s="15"/>
      <c r="E6" s="15"/>
      <c r="F6" s="15"/>
      <c r="G6" s="15"/>
      <c r="H6" s="15"/>
      <c r="I6" s="15"/>
      <c r="J6" s="17"/>
      <c r="K6" s="17"/>
      <c r="L6" s="17"/>
    </row>
    <row r="17" spans="1:1" s="19" customFormat="1" x14ac:dyDescent="0.2">
      <c r="A17" s="18"/>
    </row>
    <row r="18" spans="1:1" s="19" customFormat="1" x14ac:dyDescent="0.2">
      <c r="A18" s="18"/>
    </row>
    <row r="19" spans="1:1" s="19" customFormat="1" x14ac:dyDescent="0.2">
      <c r="A19" s="18"/>
    </row>
    <row r="20" spans="1:1" s="19" customFormat="1" x14ac:dyDescent="0.2">
      <c r="A20" s="18"/>
    </row>
    <row r="21" spans="1:1" s="19" customFormat="1" x14ac:dyDescent="0.2">
      <c r="A21" s="18"/>
    </row>
    <row r="35" spans="1:39" x14ac:dyDescent="0.2">
      <c r="A35" s="20" t="s">
        <v>49</v>
      </c>
      <c r="B35" s="21"/>
      <c r="C35" s="15"/>
      <c r="D35" s="15"/>
      <c r="E35" s="15"/>
      <c r="F35" s="15"/>
      <c r="G35" s="15"/>
      <c r="H35" s="15"/>
      <c r="I35" s="15"/>
      <c r="J35" s="15"/>
      <c r="K35" s="15"/>
    </row>
    <row r="36" spans="1:39" x14ac:dyDescent="0.2">
      <c r="A36" s="22" t="s">
        <v>50</v>
      </c>
      <c r="B36" s="117" t="s">
        <v>51</v>
      </c>
      <c r="C36" s="117"/>
      <c r="D36" s="117"/>
      <c r="E36" s="117"/>
      <c r="F36" s="117"/>
      <c r="G36" s="117"/>
      <c r="H36" s="117"/>
      <c r="I36" s="117"/>
      <c r="J36" s="117"/>
      <c r="K36" s="117"/>
    </row>
    <row r="37" spans="1:39" x14ac:dyDescent="0.2">
      <c r="A37" s="20" t="s">
        <v>47</v>
      </c>
      <c r="B37" s="118" t="s">
        <v>52</v>
      </c>
      <c r="C37" s="118"/>
      <c r="D37" s="118"/>
      <c r="E37" s="118"/>
      <c r="F37" s="118"/>
      <c r="G37" s="118"/>
      <c r="H37" s="118"/>
      <c r="I37" s="118"/>
      <c r="J37" s="118"/>
      <c r="K37" s="118"/>
    </row>
    <row r="38" spans="1:39" ht="14.25" customHeight="1" x14ac:dyDescent="0.2">
      <c r="A38" s="20" t="s">
        <v>93</v>
      </c>
      <c r="B38" s="119" t="s">
        <v>94</v>
      </c>
      <c r="C38" s="119"/>
      <c r="D38" s="119"/>
      <c r="E38" s="119"/>
      <c r="F38" s="119"/>
      <c r="G38" s="119"/>
      <c r="H38" s="119"/>
      <c r="I38" s="119"/>
      <c r="J38" s="119"/>
      <c r="K38" s="119"/>
    </row>
    <row r="39" spans="1:39" ht="14.25" customHeight="1" x14ac:dyDescent="0.2">
      <c r="A39" s="20" t="s">
        <v>96</v>
      </c>
      <c r="B39" s="119" t="s">
        <v>95</v>
      </c>
      <c r="C39" s="119"/>
      <c r="D39" s="119"/>
      <c r="E39" s="119"/>
      <c r="F39" s="119"/>
      <c r="G39" s="119"/>
      <c r="H39" s="119"/>
      <c r="I39" s="119"/>
      <c r="J39" s="119"/>
      <c r="K39" s="119"/>
    </row>
    <row r="40" spans="1:39" ht="14.25" customHeight="1" x14ac:dyDescent="0.2">
      <c r="A40" s="115" t="s">
        <v>122</v>
      </c>
      <c r="B40" s="114" t="s">
        <v>123</v>
      </c>
      <c r="C40" s="114"/>
      <c r="D40" s="114"/>
      <c r="E40" s="114"/>
      <c r="F40" s="114"/>
      <c r="G40" s="114"/>
      <c r="H40" s="114"/>
      <c r="I40" s="114"/>
      <c r="J40" s="114"/>
      <c r="K40" s="114"/>
    </row>
    <row r="41" spans="1:39" ht="14.25" customHeight="1" x14ac:dyDescent="0.2">
      <c r="A41" s="115"/>
      <c r="B41" s="114"/>
      <c r="C41" s="114"/>
      <c r="D41" s="114"/>
      <c r="E41" s="114"/>
      <c r="F41" s="114"/>
      <c r="G41" s="114"/>
      <c r="H41" s="114"/>
      <c r="I41" s="114"/>
      <c r="J41" s="114"/>
      <c r="K41" s="114"/>
    </row>
    <row r="42" spans="1:39" x14ac:dyDescent="0.2">
      <c r="A42" s="20" t="s">
        <v>129</v>
      </c>
      <c r="B42" s="61" t="s">
        <v>133</v>
      </c>
    </row>
    <row r="43" spans="1:39" x14ac:dyDescent="0.2">
      <c r="A43" s="20" t="s">
        <v>134</v>
      </c>
      <c r="B43" s="61" t="s">
        <v>135</v>
      </c>
    </row>
    <row r="44" spans="1:39" ht="15" x14ac:dyDescent="0.2">
      <c r="A44" s="20" t="s">
        <v>140</v>
      </c>
      <c r="B44" s="61" t="s">
        <v>141</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row>
    <row r="45" spans="1:39" x14ac:dyDescent="0.2">
      <c r="A45" s="20" t="s">
        <v>149</v>
      </c>
      <c r="B45" s="61" t="s">
        <v>150</v>
      </c>
    </row>
  </sheetData>
  <sheetProtection algorithmName="SHA-512" hashValue="W8hQLkvy606Mq73EHeOrhjOxQW2doMQ+m/k0R/oZLviSfUzp/NcdBM6/aYUMbtSKpo1zt7774jt+Y8pCDVnBJw==" saltValue="86sQf3X9sC849lxP+q/Tzg==" spinCount="100000" sheet="1" selectLockedCells="1" selectUnlockedCells="1"/>
  <mergeCells count="7">
    <mergeCell ref="B40:K41"/>
    <mergeCell ref="A40:A41"/>
    <mergeCell ref="A1:L3"/>
    <mergeCell ref="B36:K36"/>
    <mergeCell ref="B37:K37"/>
    <mergeCell ref="B38:K38"/>
    <mergeCell ref="B39:K3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2711F-50AC-4F62-B1EA-C43BE45FF409}">
  <sheetPr codeName="Sheet11"/>
  <dimension ref="A1:AB29"/>
  <sheetViews>
    <sheetView showGridLines="0" showRowColHeaders="0" topLeftCell="A4" zoomScaleNormal="100" workbookViewId="0">
      <selection activeCell="C29" sqref="C29"/>
    </sheetView>
  </sheetViews>
  <sheetFormatPr defaultColWidth="9.140625" defaultRowHeight="15" x14ac:dyDescent="0.25"/>
  <cols>
    <col min="1" max="2" width="9.140625" style="1"/>
    <col min="3" max="3" width="7.85546875" style="1" customWidth="1"/>
    <col min="4" max="4" width="6.5703125" style="1" customWidth="1"/>
    <col min="5" max="17" width="9.140625" style="1"/>
    <col min="18" max="18" width="33.28515625" style="1" customWidth="1"/>
    <col min="19" max="16384" width="9.140625" style="1"/>
  </cols>
  <sheetData>
    <row r="1" spans="1:28" ht="15" customHeight="1" x14ac:dyDescent="0.25">
      <c r="A1" s="121"/>
      <c r="B1" s="121"/>
      <c r="C1" s="121"/>
      <c r="D1" s="121"/>
      <c r="E1" s="121"/>
      <c r="F1" s="121"/>
      <c r="G1" s="121"/>
      <c r="H1" s="121"/>
      <c r="I1" s="121"/>
      <c r="J1" s="121"/>
      <c r="K1" s="121"/>
      <c r="L1" s="121"/>
      <c r="M1" s="121"/>
      <c r="N1" s="121"/>
      <c r="O1" s="121"/>
      <c r="P1" s="121"/>
      <c r="Q1" s="121"/>
      <c r="R1" s="121"/>
    </row>
    <row r="2" spans="1:28" ht="15" customHeight="1" x14ac:dyDescent="0.25">
      <c r="A2" s="121"/>
      <c r="B2" s="121"/>
      <c r="C2" s="121"/>
      <c r="D2" s="121"/>
      <c r="E2" s="121"/>
      <c r="F2" s="121"/>
      <c r="G2" s="121"/>
      <c r="H2" s="121"/>
      <c r="I2" s="121"/>
      <c r="J2" s="121"/>
      <c r="K2" s="121"/>
      <c r="L2" s="121"/>
      <c r="M2" s="121"/>
      <c r="N2" s="121"/>
      <c r="O2" s="121"/>
      <c r="P2" s="121"/>
      <c r="Q2" s="121"/>
      <c r="R2" s="121"/>
    </row>
    <row r="3" spans="1:28" ht="15" customHeight="1" x14ac:dyDescent="0.25">
      <c r="A3" s="121"/>
      <c r="B3" s="121"/>
      <c r="C3" s="121"/>
      <c r="D3" s="121"/>
      <c r="E3" s="121"/>
      <c r="F3" s="121"/>
      <c r="G3" s="121"/>
      <c r="H3" s="121"/>
      <c r="I3" s="121"/>
      <c r="J3" s="121"/>
      <c r="K3" s="121"/>
      <c r="L3" s="121"/>
      <c r="M3" s="121"/>
      <c r="N3" s="121"/>
      <c r="O3" s="121"/>
      <c r="P3" s="121"/>
      <c r="Q3" s="121"/>
      <c r="R3" s="121"/>
    </row>
    <row r="4" spans="1:28" ht="15" customHeight="1" x14ac:dyDescent="0.25">
      <c r="A4" s="24"/>
      <c r="B4" s="24"/>
      <c r="C4" s="24"/>
      <c r="D4" s="24"/>
      <c r="E4" s="24"/>
      <c r="F4" s="24"/>
      <c r="G4" s="24"/>
      <c r="H4" s="24"/>
      <c r="I4" s="24"/>
      <c r="J4" s="24"/>
      <c r="K4" s="24"/>
      <c r="L4" s="24"/>
      <c r="M4" s="24"/>
      <c r="N4" s="24"/>
      <c r="O4" s="24"/>
      <c r="P4" s="24"/>
      <c r="Q4" s="24"/>
      <c r="R4" s="24"/>
      <c r="S4" s="25"/>
      <c r="T4" s="25"/>
      <c r="U4" s="25"/>
      <c r="V4" s="25"/>
      <c r="W4" s="25"/>
      <c r="X4" s="25"/>
      <c r="Y4" s="25"/>
      <c r="Z4" s="25"/>
      <c r="AA4" s="25"/>
      <c r="AB4" s="25"/>
    </row>
    <row r="5" spans="1:28" x14ac:dyDescent="0.25">
      <c r="A5" s="122" t="s">
        <v>64</v>
      </c>
      <c r="B5" s="122"/>
      <c r="C5" s="122"/>
      <c r="D5" s="122"/>
      <c r="E5" s="122"/>
      <c r="F5" s="122"/>
      <c r="G5" s="122"/>
      <c r="H5" s="122"/>
      <c r="I5" s="122"/>
      <c r="J5" s="122"/>
      <c r="K5" s="122"/>
      <c r="L5" s="122"/>
      <c r="M5" s="122"/>
      <c r="N5" s="122"/>
      <c r="O5" s="122"/>
      <c r="P5" s="122"/>
      <c r="Q5" s="26"/>
      <c r="R5" s="27"/>
      <c r="S5" s="28"/>
    </row>
    <row r="6" spans="1:28" ht="15" customHeight="1" x14ac:dyDescent="0.25">
      <c r="A6" s="28"/>
      <c r="B6" s="28"/>
      <c r="C6" s="28"/>
      <c r="D6" s="28"/>
      <c r="E6" s="28"/>
      <c r="F6" s="28"/>
      <c r="G6" s="28"/>
      <c r="H6" s="28"/>
      <c r="I6" s="28"/>
      <c r="J6" s="28"/>
      <c r="K6" s="28"/>
      <c r="L6" s="28"/>
      <c r="M6" s="28"/>
      <c r="N6" s="28"/>
      <c r="O6" s="28"/>
      <c r="P6" s="28"/>
      <c r="Q6" s="28"/>
      <c r="R6" s="28"/>
      <c r="S6" s="28"/>
    </row>
    <row r="7" spans="1:28" ht="15" customHeight="1" x14ac:dyDescent="0.25">
      <c r="A7" s="28"/>
      <c r="B7" s="28"/>
      <c r="C7" s="28"/>
      <c r="D7" s="28"/>
      <c r="E7" s="28"/>
      <c r="F7" s="28"/>
      <c r="G7" s="28"/>
      <c r="H7" s="28"/>
      <c r="I7" s="28"/>
      <c r="J7" s="28"/>
      <c r="K7" s="28"/>
      <c r="L7" s="28"/>
      <c r="M7" s="28"/>
      <c r="N7" s="28"/>
      <c r="O7" s="28"/>
      <c r="P7" s="28"/>
      <c r="Q7" s="28"/>
      <c r="R7" s="28"/>
      <c r="S7" s="28"/>
    </row>
    <row r="8" spans="1:28" ht="15" customHeight="1" x14ac:dyDescent="0.25">
      <c r="A8" s="123" t="s">
        <v>53</v>
      </c>
      <c r="B8" s="123"/>
      <c r="C8" s="123"/>
      <c r="D8" s="123"/>
      <c r="E8" s="123"/>
      <c r="F8" s="123"/>
      <c r="G8" s="123"/>
      <c r="H8" s="123"/>
      <c r="I8" s="123"/>
      <c r="J8" s="123"/>
      <c r="K8" s="123"/>
      <c r="L8" s="123"/>
      <c r="M8" s="123"/>
      <c r="N8" s="123"/>
      <c r="O8" s="123"/>
      <c r="P8" s="123"/>
      <c r="Q8" s="123"/>
      <c r="R8" s="123"/>
      <c r="S8" s="28"/>
    </row>
    <row r="9" spans="1:28" ht="15" customHeight="1" x14ac:dyDescent="0.25">
      <c r="A9" s="28"/>
      <c r="B9" s="28"/>
      <c r="C9" s="28"/>
      <c r="D9" s="28"/>
      <c r="E9" s="28"/>
      <c r="F9" s="28"/>
      <c r="G9" s="28"/>
      <c r="H9" s="28"/>
      <c r="I9" s="28"/>
      <c r="J9" s="28"/>
      <c r="K9" s="28"/>
      <c r="L9" s="28"/>
      <c r="M9" s="28"/>
      <c r="N9" s="28"/>
      <c r="O9" s="28"/>
      <c r="P9" s="28"/>
      <c r="Q9" s="28"/>
      <c r="R9" s="28"/>
      <c r="S9" s="28"/>
    </row>
    <row r="10" spans="1:28" ht="15" customHeight="1" x14ac:dyDescent="0.25">
      <c r="A10" s="28"/>
      <c r="B10" s="28" t="s">
        <v>54</v>
      </c>
      <c r="C10" s="28"/>
      <c r="D10" s="28"/>
      <c r="E10" s="28"/>
      <c r="F10" s="28"/>
      <c r="G10" s="28"/>
      <c r="H10" s="28"/>
      <c r="I10" s="28"/>
      <c r="J10" s="28"/>
      <c r="K10" s="28"/>
      <c r="L10" s="28"/>
      <c r="M10" s="28"/>
      <c r="N10" s="28"/>
      <c r="O10" s="28"/>
      <c r="P10" s="28"/>
      <c r="Q10" s="28"/>
      <c r="R10" s="28"/>
      <c r="S10" s="28"/>
    </row>
    <row r="11" spans="1:28" ht="15" customHeight="1" x14ac:dyDescent="0.25">
      <c r="A11" s="28"/>
      <c r="B11" s="28"/>
      <c r="C11" s="120" t="s">
        <v>55</v>
      </c>
      <c r="D11" s="120"/>
      <c r="E11" s="29" t="s">
        <v>56</v>
      </c>
      <c r="F11" s="28"/>
      <c r="G11" s="28"/>
      <c r="H11" s="28"/>
      <c r="I11" s="28"/>
      <c r="J11" s="28"/>
      <c r="K11" s="28"/>
      <c r="L11" s="28"/>
      <c r="M11" s="28"/>
      <c r="N11" s="28"/>
      <c r="O11" s="28"/>
      <c r="P11" s="28"/>
      <c r="Q11" s="28"/>
      <c r="R11" s="28"/>
      <c r="S11" s="28"/>
    </row>
    <row r="12" spans="1:28" ht="15" customHeight="1" x14ac:dyDescent="0.25">
      <c r="A12" s="28"/>
      <c r="B12" s="28"/>
      <c r="C12" s="28"/>
      <c r="D12" s="28"/>
      <c r="E12" s="28"/>
      <c r="F12" s="28"/>
      <c r="G12" s="28"/>
      <c r="H12" s="28"/>
      <c r="I12" s="28"/>
      <c r="J12" s="28"/>
      <c r="K12" s="28"/>
      <c r="L12" s="28"/>
      <c r="M12" s="28"/>
      <c r="N12" s="28"/>
      <c r="O12" s="28"/>
      <c r="P12" s="28"/>
      <c r="Q12" s="28"/>
      <c r="R12" s="28"/>
      <c r="S12" s="28"/>
    </row>
    <row r="13" spans="1:28" ht="15" customHeight="1" x14ac:dyDescent="0.25">
      <c r="A13" s="28" t="s">
        <v>69</v>
      </c>
      <c r="B13" s="28"/>
      <c r="C13" s="28"/>
      <c r="D13" s="28"/>
      <c r="E13" s="28"/>
      <c r="F13" s="28"/>
      <c r="G13" s="28"/>
      <c r="H13" s="28"/>
      <c r="I13" s="28"/>
      <c r="J13" s="28"/>
      <c r="K13" s="28"/>
      <c r="L13" s="28"/>
      <c r="M13" s="28"/>
      <c r="N13" s="28"/>
      <c r="O13" s="28"/>
      <c r="P13" s="28"/>
      <c r="Q13" s="28"/>
      <c r="R13" s="28"/>
      <c r="S13" s="28"/>
    </row>
    <row r="14" spans="1:28" ht="15" customHeight="1" x14ac:dyDescent="0.25">
      <c r="A14" s="28"/>
      <c r="B14" s="28" t="s">
        <v>70</v>
      </c>
      <c r="C14" s="28"/>
      <c r="D14" s="28"/>
      <c r="E14" s="28"/>
      <c r="F14" s="28"/>
      <c r="G14" s="28"/>
      <c r="H14" s="28"/>
      <c r="I14" s="28"/>
      <c r="J14" s="28"/>
      <c r="K14" s="28"/>
      <c r="L14" s="28"/>
      <c r="M14" s="28"/>
      <c r="N14" s="28"/>
      <c r="O14" s="28"/>
      <c r="P14" s="28"/>
      <c r="Q14" s="28"/>
      <c r="R14" s="28"/>
      <c r="S14" s="28"/>
    </row>
    <row r="15" spans="1:28" x14ac:dyDescent="0.25">
      <c r="C15" s="120" t="s">
        <v>55</v>
      </c>
      <c r="D15" s="120"/>
      <c r="E15" s="29" t="s">
        <v>91</v>
      </c>
      <c r="F15" s="28"/>
    </row>
    <row r="17" spans="2:5" x14ac:dyDescent="0.25">
      <c r="B17" s="1" t="s">
        <v>71</v>
      </c>
    </row>
    <row r="18" spans="2:5" x14ac:dyDescent="0.25">
      <c r="C18" s="120" t="s">
        <v>55</v>
      </c>
      <c r="D18" s="120"/>
      <c r="E18" s="29" t="s">
        <v>90</v>
      </c>
    </row>
    <row r="20" spans="2:5" x14ac:dyDescent="0.25">
      <c r="B20" s="1" t="s">
        <v>153</v>
      </c>
    </row>
    <row r="21" spans="2:5" x14ac:dyDescent="0.25">
      <c r="C21" s="120" t="s">
        <v>55</v>
      </c>
      <c r="D21" s="120"/>
      <c r="E21" s="29" t="s">
        <v>154</v>
      </c>
    </row>
    <row r="23" spans="2:5" x14ac:dyDescent="0.25">
      <c r="B23" s="1" t="s">
        <v>155</v>
      </c>
    </row>
    <row r="24" spans="2:5" x14ac:dyDescent="0.25">
      <c r="C24" s="120" t="s">
        <v>55</v>
      </c>
      <c r="D24" s="120"/>
      <c r="E24" s="29" t="s">
        <v>72</v>
      </c>
    </row>
    <row r="25" spans="2:5" x14ac:dyDescent="0.25">
      <c r="C25" s="1" t="s">
        <v>73</v>
      </c>
    </row>
    <row r="27" spans="2:5" x14ac:dyDescent="0.25">
      <c r="B27" s="1" t="s">
        <v>156</v>
      </c>
    </row>
    <row r="28" spans="2:5" x14ac:dyDescent="0.25">
      <c r="C28" s="120" t="s">
        <v>55</v>
      </c>
      <c r="D28" s="120"/>
      <c r="E28" s="29" t="s">
        <v>158</v>
      </c>
    </row>
    <row r="29" spans="2:5" x14ac:dyDescent="0.25">
      <c r="C29" s="1" t="s">
        <v>157</v>
      </c>
    </row>
  </sheetData>
  <sheetProtection algorithmName="SHA-512" hashValue="JOcTrWuBCMeXcw4zJnPFXINXvKvQjbrbh0f42PYWAWMCr5leA+zOtkLDfR/KET2tghj76c8cwnzI+vt6nRoaMA==" saltValue="XE8KRK1Y3X/4xCfS3G1yMw==" spinCount="100000" sheet="1" objects="1"/>
  <mergeCells count="9">
    <mergeCell ref="C28:D28"/>
    <mergeCell ref="C15:D15"/>
    <mergeCell ref="C18:D18"/>
    <mergeCell ref="C24:D24"/>
    <mergeCell ref="A1:R3"/>
    <mergeCell ref="A5:P5"/>
    <mergeCell ref="A8:R8"/>
    <mergeCell ref="C11:D11"/>
    <mergeCell ref="C21:D21"/>
  </mergeCells>
  <hyperlinks>
    <hyperlink ref="A5:O5" r:id="rId1" display="For any futher assistance on this tool, please post your question in the following forum Room - E2E Precision Data Converters Forum" xr:uid="{D3D3CE1B-91F1-40C8-8D1D-2DD256D06953}"/>
    <hyperlink ref="E11" location="Instructions!A1" display="How to use this tool" xr:uid="{3656BD22-B83A-429A-BC24-E651ACB45903}"/>
    <hyperlink ref="A5:P5" r:id="rId2" display="For any futher assistance on this tool, please post your question in the following forum - E2E Power Management Group Forum" xr:uid="{4B1FC72D-2EA2-4491-BEA6-9CB23C645B7B}"/>
    <hyperlink ref="E15" r:id="rId3" xr:uid="{E19747FE-B901-47E2-9DD7-5B266E1B38CA}"/>
    <hyperlink ref="E18" r:id="rId4" xr:uid="{687EA4CC-CDB1-4EC7-B768-C1A82E6559FE}"/>
    <hyperlink ref="E24" r:id="rId5" xr:uid="{25E47C51-B880-4DB9-A42E-EC589506B974}"/>
    <hyperlink ref="E21" r:id="rId6" xr:uid="{AE9EB2E5-3185-4D44-A48A-1FFB409FC244}"/>
    <hyperlink ref="E28" r:id="rId7" xr:uid="{E248F2C4-E202-43E2-BA53-2B859B534469}"/>
  </hyperlinks>
  <pageMargins left="0.7" right="0.7" top="0.75" bottom="0.75" header="0.3" footer="0.3"/>
  <pageSetup scale="50" orientation="portrait"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Parallel LDO Calculator</vt:lpstr>
      <vt:lpstr>Error Voltage Calculator</vt:lpstr>
      <vt:lpstr>LookupTables</vt:lpstr>
      <vt:lpstr>About</vt:lpstr>
      <vt:lpstr>Help</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 Stephen</dc:creator>
  <cp:lastModifiedBy>Ziel, Stephen</cp:lastModifiedBy>
  <dcterms:created xsi:type="dcterms:W3CDTF">2022-10-06T20:00:12Z</dcterms:created>
  <dcterms:modified xsi:type="dcterms:W3CDTF">2026-03-17T00:55:58Z</dcterms:modified>
</cp:coreProperties>
</file>