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91447\Documents\"/>
    </mc:Choice>
  </mc:AlternateContent>
  <xr:revisionPtr revIDLastSave="0" documentId="13_ncr:1_{970412EB-773F-4626-9DA8-883AAEAFA19F}" xr6:coauthVersionLast="36" xr6:coauthVersionMax="36" xr10:uidLastSave="{00000000-0000-0000-0000-000000000000}"/>
  <bookViews>
    <workbookView xWindow="0" yWindow="0" windowWidth="28800" windowHeight="12225" xr2:uid="{1F9C7593-982B-4FEE-9529-2645B104980D}"/>
  </bookViews>
  <sheets>
    <sheet name="Instructions" sheetId="5" r:id="rId1"/>
    <sheet name="Voltage Output Mode" sheetId="1" r:id="rId2"/>
    <sheet name="Current Output Mode" sheetId="3" r:id="rId3"/>
    <sheet name="RawCalculations" sheetId="4" state="hidden" r:id="rId4"/>
    <sheet name="Pseudocode" sheetId="6" state="hidden" r:id="rId5"/>
    <sheet name="ResistorValues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28" i="3"/>
  <c r="F15" i="6"/>
  <c r="C15" i="6"/>
  <c r="E24" i="3"/>
  <c r="G17" i="6"/>
  <c r="F17" i="6"/>
  <c r="D17" i="6"/>
  <c r="C17" i="6"/>
  <c r="F19" i="6"/>
  <c r="E17" i="3" s="1"/>
  <c r="C19" i="6"/>
  <c r="E16" i="3"/>
  <c r="F26" i="4"/>
  <c r="F25" i="4"/>
  <c r="G7" i="6"/>
  <c r="C8" i="6"/>
  <c r="G12" i="6"/>
  <c r="E13" i="3" s="1"/>
  <c r="D12" i="6"/>
  <c r="E10" i="3"/>
  <c r="C36" i="3"/>
  <c r="C37" i="3" s="1"/>
  <c r="C27" i="3"/>
  <c r="C23" i="3"/>
  <c r="C30" i="3" s="1"/>
  <c r="E25" i="3" l="1"/>
  <c r="E15" i="3"/>
  <c r="D39" i="4"/>
  <c r="G22" i="3" s="1"/>
  <c r="C12" i="3"/>
  <c r="C32" i="3"/>
  <c r="C33" i="3" s="1"/>
  <c r="C28" i="3" l="1"/>
  <c r="C38" i="3"/>
  <c r="C29" i="3"/>
  <c r="G2" i="6" l="1"/>
  <c r="E11" i="3" s="1"/>
  <c r="B3" i="6"/>
  <c r="E10" i="1"/>
  <c r="G20" i="4" l="1"/>
  <c r="F20" i="4"/>
  <c r="E19" i="1" l="1"/>
  <c r="F36" i="4"/>
  <c r="D38" i="4" l="1"/>
  <c r="D37" i="4"/>
  <c r="D36" i="4"/>
  <c r="G24" i="1" s="1"/>
  <c r="C6" i="6"/>
  <c r="D6" i="6"/>
  <c r="B2" i="6"/>
  <c r="C21" i="1"/>
  <c r="E12" i="1" l="1"/>
  <c r="E26" i="1"/>
  <c r="C5" i="6"/>
  <c r="E5" i="6" s="1"/>
  <c r="E13" i="1" s="1"/>
  <c r="E18" i="1"/>
  <c r="D5" i="6"/>
  <c r="E11" i="1"/>
  <c r="E27" i="1" l="1"/>
  <c r="B38" i="1" l="1"/>
  <c r="B37" i="1"/>
  <c r="G40" i="1" l="1"/>
  <c r="C29" i="4" l="1"/>
  <c r="D31" i="4"/>
  <c r="C31" i="4"/>
  <c r="D30" i="4"/>
  <c r="C30" i="4"/>
  <c r="D29" i="4"/>
  <c r="D18" i="4"/>
  <c r="D17" i="4"/>
  <c r="D16" i="4"/>
  <c r="C18" i="4"/>
  <c r="C17" i="4"/>
  <c r="C16" i="4"/>
  <c r="D24" i="4" l="1"/>
  <c r="C24" i="4"/>
  <c r="F23" i="4"/>
  <c r="D23" i="4"/>
  <c r="C23" i="4"/>
  <c r="D22" i="4"/>
  <c r="C22" i="4"/>
  <c r="D21" i="4"/>
  <c r="C21" i="4"/>
  <c r="D20" i="4"/>
  <c r="C20" i="4"/>
  <c r="D19" i="4"/>
  <c r="C19" i="4"/>
  <c r="F17" i="4"/>
  <c r="C40" i="1"/>
  <c r="C35" i="1"/>
  <c r="E4" i="4"/>
  <c r="D4" i="4"/>
  <c r="C4" i="4"/>
  <c r="C36" i="1" s="1"/>
  <c r="G44" i="1" l="1"/>
  <c r="G42" i="1"/>
  <c r="F22" i="4" l="1"/>
  <c r="C29" i="1"/>
  <c r="F24" i="4" l="1"/>
  <c r="G41" i="1"/>
  <c r="F19" i="4" s="1"/>
  <c r="F21" i="4" l="1"/>
  <c r="G21" i="4"/>
  <c r="C10" i="6" s="1"/>
  <c r="G37" i="1"/>
  <c r="G38" i="1" s="1"/>
  <c r="E15" i="1" l="1"/>
  <c r="F16" i="4"/>
  <c r="C36" i="4"/>
  <c r="F18" i="4" l="1"/>
  <c r="G45" i="1"/>
  <c r="C12" i="6" l="1"/>
  <c r="E17" i="1" s="1"/>
  <c r="G47" i="1"/>
  <c r="C30" i="1" s="1"/>
  <c r="G46" i="1"/>
  <c r="C31" i="1" l="1"/>
  <c r="E9" i="4" l="1"/>
  <c r="D9" i="4"/>
  <c r="C9" i="4"/>
  <c r="F29" i="4" s="1"/>
  <c r="E7" i="4"/>
  <c r="C5" i="4"/>
  <c r="D7" i="4"/>
  <c r="C7" i="4"/>
  <c r="E6" i="4"/>
  <c r="D6" i="4"/>
  <c r="C6" i="4"/>
  <c r="E5" i="4"/>
  <c r="D5" i="4"/>
  <c r="C37" i="1" l="1"/>
  <c r="E36" i="4"/>
  <c r="C39" i="1"/>
  <c r="C38" i="1"/>
  <c r="E10" i="4"/>
  <c r="F31" i="4"/>
  <c r="D10" i="4"/>
  <c r="F30" i="4"/>
  <c r="C10" i="4"/>
  <c r="C42" i="1"/>
  <c r="C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Katlynne</author>
  </authors>
  <commentList>
    <comment ref="M4" authorId="0" shapeId="0" xr:uid="{A9C794A2-A458-41F6-B44D-3360FA83B657}">
      <text>
        <r>
          <rPr>
            <b/>
            <sz val="9"/>
            <color indexed="81"/>
            <rFont val="Tahoma"/>
            <charset val="1"/>
          </rPr>
          <t>Jones, Katlynne:</t>
        </r>
        <r>
          <rPr>
            <sz val="9"/>
            <color indexed="81"/>
            <rFont val="Tahoma"/>
            <charset val="1"/>
          </rPr>
          <t xml:space="preserve">
Delete</t>
        </r>
      </text>
    </comment>
    <comment ref="P11" authorId="0" shapeId="0" xr:uid="{AC13AEA5-719D-4457-877B-8245BE8BA3C7}">
      <text>
        <r>
          <rPr>
            <b/>
            <sz val="9"/>
            <color indexed="81"/>
            <rFont val="Tahoma"/>
            <charset val="1"/>
          </rPr>
          <t>Jones, Katlynne:</t>
        </r>
        <r>
          <rPr>
            <sz val="9"/>
            <color indexed="81"/>
            <rFont val="Tahoma"/>
            <charset val="1"/>
          </rPr>
          <t xml:space="preserve">
Get rid of the color in these cells</t>
        </r>
      </text>
    </comment>
  </commentList>
</comments>
</file>

<file path=xl/sharedStrings.xml><?xml version="1.0" encoding="utf-8"?>
<sst xmlns="http://schemas.openxmlformats.org/spreadsheetml/2006/main" count="246" uniqueCount="169">
  <si>
    <t>Internal reference voltage of regulator</t>
  </si>
  <si>
    <r>
      <t>V</t>
    </r>
    <r>
      <rPr>
        <vertAlign val="subscript"/>
        <sz val="11"/>
        <color theme="0"/>
        <rFont val="Calibri"/>
        <family val="2"/>
        <scheme val="minor"/>
      </rPr>
      <t>OUT-Marginhigh</t>
    </r>
  </si>
  <si>
    <r>
      <t>V</t>
    </r>
    <r>
      <rPr>
        <vertAlign val="subscript"/>
        <sz val="11"/>
        <color theme="0"/>
        <rFont val="Calibri"/>
        <family val="2"/>
        <scheme val="minor"/>
      </rPr>
      <t>OUT-Marginlow</t>
    </r>
  </si>
  <si>
    <t>Designer's Choice</t>
  </si>
  <si>
    <t>VOUT Margin Voltage Swing (+/- V)</t>
  </si>
  <si>
    <t>Delta Current for Margin (A)</t>
  </si>
  <si>
    <t>Max Voltage margin desired at Vout (+/-)</t>
  </si>
  <si>
    <t>0x05</t>
  </si>
  <si>
    <t>Step size of 8bit DAC</t>
  </si>
  <si>
    <t>Minimum DAC Voltage to ensure step linearity</t>
  </si>
  <si>
    <t>Minimum DAC Code (8bit)</t>
  </si>
  <si>
    <t>Condition</t>
  </si>
  <si>
    <t>Nominal (8bit)</t>
  </si>
  <si>
    <t>21h</t>
  </si>
  <si>
    <t>Nominal (10bit)</t>
  </si>
  <si>
    <t>Minimum DAC Code (10bit)</t>
  </si>
  <si>
    <t>MarginHigh (8bit)</t>
  </si>
  <si>
    <t>25h</t>
  </si>
  <si>
    <t>MarginHigh (10bit)</t>
  </si>
  <si>
    <t>MarginLow (8bit)</t>
  </si>
  <si>
    <t>26h</t>
  </si>
  <si>
    <t>MarginLow (10bit)</t>
  </si>
  <si>
    <t>Min DAC code (hex) input to ensure linearity of steps (10bit)</t>
  </si>
  <si>
    <t>Step size of 10bit DAC</t>
  </si>
  <si>
    <t>DAC Step Size (8bit) (V)</t>
  </si>
  <si>
    <t>Minimum DAC Voltage (V)</t>
  </si>
  <si>
    <t>DAC Step Size (10bit) (V)</t>
  </si>
  <si>
    <t>Register Command (Hex)</t>
  </si>
  <si>
    <t>Validation Calculations using DAC Codes</t>
  </si>
  <si>
    <t>8-Bit</t>
  </si>
  <si>
    <t>10-Bit</t>
  </si>
  <si>
    <t>Vout Step Resolution</t>
  </si>
  <si>
    <t>Vout Step (V)</t>
  </si>
  <si>
    <t>Vout Step (% of Nominal Output)</t>
  </si>
  <si>
    <t>Design Results</t>
  </si>
  <si>
    <t>Resistor Tolerance of Design</t>
  </si>
  <si>
    <t>Either 1% or 0.1%</t>
  </si>
  <si>
    <r>
      <t>V</t>
    </r>
    <r>
      <rPr>
        <vertAlign val="subscript"/>
        <sz val="11"/>
        <color theme="0"/>
        <rFont val="Calibri"/>
        <family val="2"/>
        <scheme val="minor"/>
      </rPr>
      <t>OUT-DAC-ON</t>
    </r>
  </si>
  <si>
    <r>
      <t>V</t>
    </r>
    <r>
      <rPr>
        <vertAlign val="subscript"/>
        <sz val="11"/>
        <color theme="0"/>
        <rFont val="Calibri"/>
        <family val="2"/>
        <scheme val="minor"/>
      </rPr>
      <t>OUT-High-Z</t>
    </r>
  </si>
  <si>
    <t>12-Bit</t>
  </si>
  <si>
    <t>Minimum DAC Code (12bit)</t>
  </si>
  <si>
    <t>DAC Step Size (12bit) (V)</t>
  </si>
  <si>
    <t>Min DAC code (hex) input to ensure linearity of steps (12bit)</t>
  </si>
  <si>
    <t>Step size of 12bit DAC</t>
  </si>
  <si>
    <t>Nominal Feedback Current (A)</t>
  </si>
  <si>
    <t>Nominal (12bit)</t>
  </si>
  <si>
    <t>MarginHigh (12bit)</t>
  </si>
  <si>
    <t>MarginLow (12bit)</t>
  </si>
  <si>
    <t xml:space="preserve">Slew Rate Control Setup </t>
  </si>
  <si>
    <t>Code Step (LSB)</t>
  </si>
  <si>
    <t>Slew Rate  (µs/step)</t>
  </si>
  <si>
    <t>Resolution</t>
  </si>
  <si>
    <t>8bit</t>
  </si>
  <si>
    <t>Slew Parameters</t>
  </si>
  <si>
    <t>Code Step</t>
  </si>
  <si>
    <t>Total Rise Time (s)</t>
  </si>
  <si>
    <t>PMBUS Page Data 0x00h[15:8]</t>
  </si>
  <si>
    <t>PMBUS Reg Addr/CMD</t>
  </si>
  <si>
    <t>DAC Slew Rate (V/s)</t>
  </si>
  <si>
    <t>Regulator Output Slew Rate (V/s)</t>
  </si>
  <si>
    <t>I2C/SPI Reg Addr</t>
  </si>
  <si>
    <t>DAC Step Size (8bit) (A)</t>
  </si>
  <si>
    <t xml:space="preserve">Step size of 8-bit DAC </t>
  </si>
  <si>
    <t>DAC Slew Rate (A/s)</t>
  </si>
  <si>
    <t>Validation Calculations using DAC codes</t>
  </si>
  <si>
    <t xml:space="preserve">Vout Step (% of Nominal Output) </t>
  </si>
  <si>
    <t>DAC CHANNEL</t>
  </si>
  <si>
    <t xml:space="preserve">  DAC Code Values</t>
  </si>
  <si>
    <t>Nominal Power Regulator Voltage at Vout (based off R1 &amp; R2)</t>
  </si>
  <si>
    <t>Slew Results</t>
  </si>
  <si>
    <t>Custom Margin Output Calculator</t>
  </si>
  <si>
    <t>Custom 8-bit</t>
  </si>
  <si>
    <t>Custom 10-bit</t>
  </si>
  <si>
    <t>Custom 12-bit</t>
  </si>
  <si>
    <t>Set to HI-Z Output or Power-Down</t>
  </si>
  <si>
    <t>(Ideal Calculation)</t>
  </si>
  <si>
    <t>(Closest Industry Available)</t>
  </si>
  <si>
    <t>Calculation Results</t>
  </si>
  <si>
    <t>Nominal Power Regulator Voltage</t>
  </si>
  <si>
    <t>Volt Step size of Regulator Output</t>
  </si>
  <si>
    <t>% Step size of Regulator Output</t>
  </si>
  <si>
    <t>Intermediate Calculations (Do not Change - Cells Locked)</t>
  </si>
  <si>
    <t>Slew rate of DAC Output</t>
  </si>
  <si>
    <t xml:space="preserve">Slew rate of Vout </t>
  </si>
  <si>
    <t>Range of Current Output
 (- to + ) (μA)</t>
  </si>
  <si>
    <t xml:space="preserve">Step </t>
  </si>
  <si>
    <t>Legend</t>
  </si>
  <si>
    <t>User input</t>
  </si>
  <si>
    <t>Design results</t>
  </si>
  <si>
    <t>Descrete design results</t>
  </si>
  <si>
    <t>Programming guide</t>
  </si>
  <si>
    <t xml:space="preserve">This excel based calculator aids the user with designing a system for power supply margining applications based on the desired specifications. </t>
  </si>
  <si>
    <t xml:space="preserve">This tool has 2 sections available to the user: </t>
  </si>
  <si>
    <t>1. Voltage output mode - system design with voltage output DAC</t>
  </si>
  <si>
    <t>2. Current output mode - system design with current output mode</t>
  </si>
  <si>
    <t xml:space="preserve">Both sheets take system spicification parameters and output and calculate required schematic, analog output and register map required to fullfil those specifications </t>
  </si>
  <si>
    <t>Additionally, both sheets have an option to calculate slew rate based on the input values.</t>
  </si>
  <si>
    <t>DAC Channel</t>
  </si>
  <si>
    <t xml:space="preserve">System Specifications ( all fields must be populated ) </t>
  </si>
  <si>
    <t>Calculation Results ( do not populate )</t>
  </si>
  <si>
    <t>Minimum DAC code (hex) input to ensure linearity of steps. Set at recommended value</t>
  </si>
  <si>
    <t>via Register Address DAC-X-DATA</t>
  </si>
  <si>
    <t>DAC Reference</t>
  </si>
  <si>
    <t>Based on the input parameters, the calculator returns the following values:</t>
  </si>
  <si>
    <t>1) Resistor value for resistor divider</t>
  </si>
  <si>
    <t xml:space="preserve">2) Nominal DAC voltage along with margin high and margin low voltage for the particular design </t>
  </si>
  <si>
    <t>3) Total raise/fall time based on slew rate and code step size</t>
  </si>
  <si>
    <t>DAC Reference Selection</t>
  </si>
  <si>
    <t>Select internal or external DAC reference</t>
  </si>
  <si>
    <t>Internal Reference Gain</t>
  </si>
  <si>
    <t>Select gain for internal reference</t>
  </si>
  <si>
    <t>External Reference Value</t>
  </si>
  <si>
    <t>Gain:</t>
  </si>
  <si>
    <t>DAC VDD</t>
  </si>
  <si>
    <t>Designer`s choise</t>
  </si>
  <si>
    <t>Select VREF Value between 1.7 and VDD</t>
  </si>
  <si>
    <t>Locked Cells</t>
  </si>
  <si>
    <t>Pseudocode</t>
  </si>
  <si>
    <t>Power-up:</t>
  </si>
  <si>
    <t>PMBUS</t>
  </si>
  <si>
    <t>Internal Ref:</t>
  </si>
  <si>
    <t>Channel sel:</t>
  </si>
  <si>
    <t>Channel Sel</t>
  </si>
  <si>
    <t>I2C</t>
  </si>
  <si>
    <t>Register Value Sel</t>
  </si>
  <si>
    <t>//Write margin high code</t>
  </si>
  <si>
    <t>Margin HIGH</t>
  </si>
  <si>
    <t>//Write margin low code</t>
  </si>
  <si>
    <t>Margin LOW</t>
  </si>
  <si>
    <t>Slew Rate</t>
  </si>
  <si>
    <t>DAC Resolution</t>
  </si>
  <si>
    <t>Select device resolution</t>
  </si>
  <si>
    <t>Select specific channel (each channel is independent)</t>
  </si>
  <si>
    <t>Value must be twice the value of VFB. If it is not the cell will highlight red.</t>
  </si>
  <si>
    <t>VFB of Regulator</t>
  </si>
  <si>
    <t>4) Pseudocode</t>
  </si>
  <si>
    <t>//Save settings to NVM</t>
  </si>
  <si>
    <t>Total Rise/Fall Time</t>
  </si>
  <si>
    <t>GPIO</t>
  </si>
  <si>
    <t>Register ValueSel</t>
  </si>
  <si>
    <t>I2C/SPI Communication</t>
  </si>
  <si>
    <t>This calculator helps with generation of system requirements for power supply margining applications with DACx3204 and DACx3004</t>
  </si>
  <si>
    <t>Additionally, it will generate a pseudo code that is required to program the device</t>
  </si>
  <si>
    <t>Current</t>
  </si>
  <si>
    <t>0x1F</t>
  </si>
  <si>
    <t>//SYNTAX: WRITE &lt;REGISTER NAME (Hex code)&gt;, &lt;(4-byte data)&gt;</t>
  </si>
  <si>
    <t>Normalized</t>
  </si>
  <si>
    <t>Internal</t>
  </si>
  <si>
    <t>Channel Sel:</t>
  </si>
  <si>
    <t>10bit</t>
  </si>
  <si>
    <t>12bit</t>
  </si>
  <si>
    <t>Iout</t>
  </si>
  <si>
    <t>MarginLOW (IOUT)</t>
  </si>
  <si>
    <t>MarginHIGH (IOUT)</t>
  </si>
  <si>
    <t>WRITE COMMON-TRIGGER (0x20),(0x0002)</t>
  </si>
  <si>
    <r>
      <t>I</t>
    </r>
    <r>
      <rPr>
        <vertAlign val="subscript"/>
        <sz val="14"/>
        <color theme="0"/>
        <rFont val="Arial"/>
        <family val="2"/>
      </rPr>
      <t>RANGE</t>
    </r>
  </si>
  <si>
    <r>
      <t>∆V</t>
    </r>
    <r>
      <rPr>
        <vertAlign val="subscript"/>
        <sz val="14"/>
        <color theme="0"/>
        <rFont val="Arial"/>
        <family val="2"/>
      </rPr>
      <t>MARG</t>
    </r>
  </si>
  <si>
    <r>
      <t>V</t>
    </r>
    <r>
      <rPr>
        <vertAlign val="subscript"/>
        <sz val="14"/>
        <color theme="0"/>
        <rFont val="Arial"/>
        <family val="2"/>
      </rPr>
      <t>REF</t>
    </r>
  </si>
  <si>
    <r>
      <t>R</t>
    </r>
    <r>
      <rPr>
        <b/>
        <vertAlign val="subscript"/>
        <sz val="14"/>
        <color theme="0"/>
        <rFont val="Arial"/>
        <family val="2"/>
      </rPr>
      <t>1</t>
    </r>
    <r>
      <rPr>
        <b/>
        <sz val="14"/>
        <color theme="0"/>
        <rFont val="Arial"/>
        <family val="2"/>
      </rPr>
      <t xml:space="preserve"> (Ω)</t>
    </r>
  </si>
  <si>
    <r>
      <t>R</t>
    </r>
    <r>
      <rPr>
        <b/>
        <vertAlign val="subscript"/>
        <sz val="14"/>
        <color theme="0"/>
        <rFont val="Arial"/>
        <family val="2"/>
      </rPr>
      <t>2</t>
    </r>
    <r>
      <rPr>
        <b/>
        <sz val="14"/>
        <color theme="0"/>
        <rFont val="Arial"/>
        <family val="2"/>
      </rPr>
      <t xml:space="preserve"> (Ω)</t>
    </r>
  </si>
  <si>
    <r>
      <t>V</t>
    </r>
    <r>
      <rPr>
        <vertAlign val="subscript"/>
        <sz val="14"/>
        <color theme="0"/>
        <rFont val="Arial"/>
        <family val="2"/>
      </rPr>
      <t>OUT-NOM</t>
    </r>
    <r>
      <rPr>
        <sz val="14"/>
        <color theme="0"/>
        <rFont val="Arial"/>
        <family val="2"/>
      </rPr>
      <t xml:space="preserve"> (V) </t>
    </r>
  </si>
  <si>
    <r>
      <t>V</t>
    </r>
    <r>
      <rPr>
        <vertAlign val="subscript"/>
        <sz val="14"/>
        <color theme="0"/>
        <rFont val="Arial"/>
        <family val="2"/>
      </rPr>
      <t>OUT-High-Z</t>
    </r>
  </si>
  <si>
    <r>
      <t>V</t>
    </r>
    <r>
      <rPr>
        <vertAlign val="subscript"/>
        <sz val="14"/>
        <color theme="0"/>
        <rFont val="Arial"/>
        <family val="2"/>
      </rPr>
      <t>OUT-Marginhigh</t>
    </r>
  </si>
  <si>
    <r>
      <t>V</t>
    </r>
    <r>
      <rPr>
        <vertAlign val="subscript"/>
        <sz val="14"/>
        <color theme="0"/>
        <rFont val="Arial"/>
        <family val="2"/>
      </rPr>
      <t>OUT-Marginlow</t>
    </r>
  </si>
  <si>
    <r>
      <t>V</t>
    </r>
    <r>
      <rPr>
        <vertAlign val="subscript"/>
        <sz val="14"/>
        <color theme="0"/>
        <rFont val="Arial"/>
        <family val="2"/>
      </rPr>
      <t>OUT-DAC-ON</t>
    </r>
  </si>
  <si>
    <r>
      <t>∆V</t>
    </r>
    <r>
      <rPr>
        <b/>
        <vertAlign val="subscript"/>
        <sz val="14"/>
        <color theme="0"/>
        <rFont val="Arial"/>
        <family val="2"/>
      </rPr>
      <t>MARG</t>
    </r>
  </si>
  <si>
    <r>
      <t>V</t>
    </r>
    <r>
      <rPr>
        <vertAlign val="subscript"/>
        <sz val="14"/>
        <color theme="0"/>
        <rFont val="Arial"/>
        <family val="2"/>
      </rPr>
      <t>OUT-NOM</t>
    </r>
    <r>
      <rPr>
        <sz val="14"/>
        <color theme="0"/>
        <rFont val="Arial"/>
        <family val="2"/>
      </rPr>
      <t xml:space="preserve"> (Ideal, Per R1 &amp; R2)</t>
    </r>
  </si>
  <si>
    <r>
      <t>R</t>
    </r>
    <r>
      <rPr>
        <b/>
        <vertAlign val="subscript"/>
        <sz val="14"/>
        <color theme="0"/>
        <rFont val="Arial"/>
        <family val="2"/>
      </rPr>
      <t>3</t>
    </r>
    <r>
      <rPr>
        <b/>
        <sz val="14"/>
        <color theme="0"/>
        <rFont val="Arial"/>
        <family val="2"/>
      </rPr>
      <t xml:space="preserve"> (Ω)</t>
    </r>
  </si>
  <si>
    <r>
      <t>R</t>
    </r>
    <r>
      <rPr>
        <b/>
        <vertAlign val="subscript"/>
        <sz val="14"/>
        <color theme="0"/>
        <rFont val="Arial"/>
        <family val="2"/>
      </rPr>
      <t xml:space="preserve">3 </t>
    </r>
    <r>
      <rPr>
        <b/>
        <sz val="14"/>
        <color theme="0"/>
        <rFont val="Arial"/>
        <family val="2"/>
      </rPr>
      <t>(Ω)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</si>
</sst>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%"/>
    <numFmt numFmtId="166" formatCode="##0.00E+00"/>
    <numFmt numFmtId="167" formatCode="##0.0000E+00"/>
    <numFmt numFmtId="168" formatCode="0.0%"/>
    <numFmt numFmtId="169" formatCode="##0.0E+00"/>
    <numFmt numFmtId="170" formatCode="0.000%"/>
  </numFmts>
  <fonts count="2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4" tint="-0.249977111117893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  <font>
      <vertAlign val="subscript"/>
      <sz val="14"/>
      <color theme="0"/>
      <name val="Arial"/>
      <family val="2"/>
    </font>
    <font>
      <u/>
      <sz val="14"/>
      <color theme="1"/>
      <name val="Arial"/>
      <family val="2"/>
    </font>
    <font>
      <sz val="14"/>
      <color rgb="FFFFB3B3"/>
      <name val="Arial"/>
      <family val="2"/>
    </font>
    <font>
      <b/>
      <sz val="14"/>
      <color theme="0"/>
      <name val="Arial"/>
      <family val="2"/>
    </font>
    <font>
      <b/>
      <vertAlign val="subscript"/>
      <sz val="14"/>
      <color theme="0"/>
      <name val="Arial"/>
      <family val="2"/>
    </font>
    <font>
      <b/>
      <u/>
      <sz val="14"/>
      <color theme="4"/>
      <name val="Arial"/>
      <family val="2"/>
    </font>
    <font>
      <b/>
      <u/>
      <sz val="14"/>
      <color theme="1"/>
      <name val="Arial"/>
      <family val="2"/>
    </font>
    <font>
      <sz val="14"/>
      <color theme="0" tint="-0.499984740745262"/>
      <name val="Arial"/>
      <family val="2"/>
    </font>
    <font>
      <sz val="14"/>
      <color theme="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AEA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9" fontId="7" fillId="0" borderId="0" applyFon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</cellStyleXfs>
  <cellXfs count="341">
    <xf numFmtId="0" fontId="0" fillId="0" borderId="0" xfId="0"/>
    <xf numFmtId="0" fontId="0" fillId="0" borderId="1" xfId="0" applyBorder="1"/>
    <xf numFmtId="0" fontId="3" fillId="7" borderId="1" xfId="4" applyFill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66" fontId="0" fillId="0" borderId="1" xfId="0" applyNumberFormat="1" applyBorder="1"/>
    <xf numFmtId="1" fontId="0" fillId="0" borderId="1" xfId="0" applyNumberFormat="1" applyBorder="1" applyAlignment="1">
      <alignment horizontal="right" vertical="center"/>
    </xf>
    <xf numFmtId="167" fontId="0" fillId="0" borderId="1" xfId="0" applyNumberForma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3" fillId="5" borderId="1" xfId="5" applyBorder="1" applyAlignment="1">
      <alignment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7" borderId="1" xfId="0" applyFont="1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2" borderId="0" xfId="0" applyFill="1" applyBorder="1"/>
    <xf numFmtId="0" fontId="0" fillId="12" borderId="1" xfId="0" applyFill="1" applyBorder="1"/>
    <xf numFmtId="164" fontId="0" fillId="12" borderId="1" xfId="0" applyNumberFormat="1" applyFill="1" applyBorder="1"/>
    <xf numFmtId="169" fontId="2" fillId="12" borderId="1" xfId="0" applyNumberFormat="1" applyFont="1" applyFill="1" applyBorder="1"/>
    <xf numFmtId="0" fontId="0" fillId="0" borderId="7" xfId="0" applyBorder="1"/>
    <xf numFmtId="164" fontId="0" fillId="8" borderId="7" xfId="0" applyNumberFormat="1" applyFill="1" applyBorder="1"/>
    <xf numFmtId="169" fontId="2" fillId="0" borderId="7" xfId="0" applyNumberFormat="1" applyFont="1" applyBorder="1"/>
    <xf numFmtId="164" fontId="0" fillId="0" borderId="7" xfId="0" applyNumberFormat="1" applyBorder="1"/>
    <xf numFmtId="0" fontId="0" fillId="10" borderId="0" xfId="0" applyFill="1"/>
    <xf numFmtId="0" fontId="2" fillId="12" borderId="0" xfId="0" applyFont="1" applyFill="1" applyBorder="1"/>
    <xf numFmtId="0" fontId="3" fillId="12" borderId="0" xfId="0" applyFont="1" applyFill="1" applyBorder="1"/>
    <xf numFmtId="0" fontId="11" fillId="12" borderId="0" xfId="0" applyFont="1" applyFill="1" applyBorder="1"/>
    <xf numFmtId="0" fontId="8" fillId="12" borderId="0" xfId="0" applyFont="1" applyFill="1" applyBorder="1"/>
    <xf numFmtId="0" fontId="0" fillId="0" borderId="22" xfId="0" applyNumberFormat="1" applyBorder="1" applyAlignment="1">
      <alignment horizontal="center" vertical="center"/>
    </xf>
    <xf numFmtId="0" fontId="12" fillId="15" borderId="0" xfId="0" applyFont="1" applyFill="1" applyBorder="1"/>
    <xf numFmtId="0" fontId="12" fillId="15" borderId="0" xfId="1" applyFont="1" applyFill="1" applyBorder="1" applyAlignment="1">
      <alignment horizontal="center"/>
    </xf>
    <xf numFmtId="0" fontId="13" fillId="18" borderId="1" xfId="0" applyFont="1" applyFill="1" applyBorder="1"/>
    <xf numFmtId="0" fontId="12" fillId="15" borderId="0" xfId="0" applyFont="1" applyFill="1"/>
    <xf numFmtId="0" fontId="12" fillId="12" borderId="0" xfId="0" applyFont="1" applyFill="1"/>
    <xf numFmtId="0" fontId="12" fillId="0" borderId="0" xfId="0" applyFont="1"/>
    <xf numFmtId="0" fontId="14" fillId="11" borderId="1" xfId="0" applyFont="1" applyFill="1" applyBorder="1"/>
    <xf numFmtId="0" fontId="12" fillId="12" borderId="0" xfId="0" applyFont="1" applyFill="1" applyBorder="1"/>
    <xf numFmtId="0" fontId="14" fillId="6" borderId="1" xfId="0" applyFont="1" applyFill="1" applyBorder="1"/>
    <xf numFmtId="0" fontId="14" fillId="7" borderId="1" xfId="0" applyFont="1" applyFill="1" applyBorder="1"/>
    <xf numFmtId="0" fontId="12" fillId="19" borderId="1" xfId="0" applyFont="1" applyFill="1" applyBorder="1"/>
    <xf numFmtId="0" fontId="13" fillId="12" borderId="0" xfId="0" applyFont="1" applyFill="1" applyBorder="1" applyAlignment="1">
      <alignment vertical="top" wrapText="1"/>
    </xf>
    <xf numFmtId="0" fontId="13" fillId="1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20" borderId="1" xfId="0" applyFont="1" applyFill="1" applyBorder="1"/>
    <xf numFmtId="0" fontId="15" fillId="19" borderId="14" xfId="0" applyFont="1" applyFill="1" applyBorder="1" applyAlignment="1">
      <alignment horizontal="center"/>
    </xf>
    <xf numFmtId="0" fontId="15" fillId="19" borderId="15" xfId="0" applyFont="1" applyFill="1" applyBorder="1" applyAlignment="1">
      <alignment horizontal="center"/>
    </xf>
    <xf numFmtId="0" fontId="15" fillId="19" borderId="16" xfId="0" applyFont="1" applyFill="1" applyBorder="1" applyAlignment="1">
      <alignment horizontal="center"/>
    </xf>
    <xf numFmtId="0" fontId="13" fillId="15" borderId="0" xfId="0" applyFont="1" applyFill="1" applyBorder="1" applyAlignment="1">
      <alignment vertical="top" wrapText="1"/>
    </xf>
    <xf numFmtId="0" fontId="14" fillId="2" borderId="30" xfId="2" applyFont="1" applyBorder="1" applyAlignment="1">
      <alignment horizontal="center" vertical="center"/>
    </xf>
    <xf numFmtId="0" fontId="12" fillId="12" borderId="31" xfId="0" quotePrefix="1" applyFont="1" applyFill="1" applyBorder="1" applyAlignment="1">
      <alignment horizontal="right"/>
    </xf>
    <xf numFmtId="0" fontId="14" fillId="2" borderId="33" xfId="2" applyFont="1" applyBorder="1" applyAlignment="1">
      <alignment horizontal="center" vertical="center"/>
    </xf>
    <xf numFmtId="0" fontId="14" fillId="2" borderId="19" xfId="2" applyFont="1" applyBorder="1" applyAlignment="1">
      <alignment horizontal="center" vertical="center"/>
    </xf>
    <xf numFmtId="0" fontId="12" fillId="15" borderId="0" xfId="0" applyFont="1" applyFill="1" applyBorder="1" applyAlignment="1">
      <alignment vertical="center" wrapText="1"/>
    </xf>
    <xf numFmtId="0" fontId="12" fillId="15" borderId="0" xfId="0" applyFont="1" applyFill="1" applyBorder="1" applyAlignment="1">
      <alignment horizontal="center" vertical="center" wrapText="1"/>
    </xf>
    <xf numFmtId="0" fontId="20" fillId="19" borderId="26" xfId="0" applyFont="1" applyFill="1" applyBorder="1"/>
    <xf numFmtId="0" fontId="20" fillId="19" borderId="0" xfId="0" applyFont="1" applyFill="1" applyBorder="1"/>
    <xf numFmtId="0" fontId="20" fillId="19" borderId="18" xfId="0" applyFont="1" applyFill="1" applyBorder="1"/>
    <xf numFmtId="0" fontId="21" fillId="11" borderId="17" xfId="3" applyFont="1" applyFill="1" applyBorder="1" applyAlignment="1">
      <alignment horizontal="center" vertical="center"/>
    </xf>
    <xf numFmtId="0" fontId="21" fillId="2" borderId="23" xfId="2" applyFont="1" applyBorder="1" applyAlignment="1">
      <alignment horizontal="center" vertical="center"/>
    </xf>
    <xf numFmtId="11" fontId="13" fillId="15" borderId="0" xfId="0" applyNumberFormat="1" applyFont="1" applyFill="1" applyBorder="1"/>
    <xf numFmtId="0" fontId="14" fillId="14" borderId="26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vertical="center"/>
    </xf>
    <xf numFmtId="0" fontId="12" fillId="0" borderId="45" xfId="0" applyFont="1" applyBorder="1" applyAlignment="1">
      <alignment vertical="center" wrapText="1"/>
    </xf>
    <xf numFmtId="0" fontId="12" fillId="9" borderId="46" xfId="0" applyFont="1" applyFill="1" applyBorder="1" applyAlignment="1">
      <alignment vertical="center"/>
    </xf>
    <xf numFmtId="0" fontId="24" fillId="19" borderId="26" xfId="0" applyFont="1" applyFill="1" applyBorder="1" applyAlignment="1">
      <alignment horizontal="center"/>
    </xf>
    <xf numFmtId="0" fontId="24" fillId="19" borderId="0" xfId="0" applyFont="1" applyFill="1" applyBorder="1" applyAlignment="1">
      <alignment horizontal="center"/>
    </xf>
    <xf numFmtId="0" fontId="24" fillId="19" borderId="18" xfId="0" applyFont="1" applyFill="1" applyBorder="1" applyAlignment="1">
      <alignment horizontal="center"/>
    </xf>
    <xf numFmtId="0" fontId="15" fillId="15" borderId="0" xfId="0" applyFont="1" applyFill="1" applyBorder="1" applyAlignment="1">
      <alignment vertical="center"/>
    </xf>
    <xf numFmtId="0" fontId="24" fillId="15" borderId="0" xfId="0" applyFont="1" applyFill="1" applyBorder="1" applyAlignment="1"/>
    <xf numFmtId="0" fontId="14" fillId="7" borderId="17" xfId="0" applyFont="1" applyFill="1" applyBorder="1"/>
    <xf numFmtId="0" fontId="12" fillId="0" borderId="1" xfId="0" applyFont="1" applyBorder="1"/>
    <xf numFmtId="11" fontId="12" fillId="0" borderId="22" xfId="0" applyNumberFormat="1" applyFont="1" applyBorder="1" applyAlignment="1">
      <alignment horizontal="center"/>
    </xf>
    <xf numFmtId="0" fontId="23" fillId="12" borderId="0" xfId="0" applyFont="1" applyFill="1" applyBorder="1" applyAlignment="1"/>
    <xf numFmtId="0" fontId="14" fillId="7" borderId="17" xfId="4" applyFont="1" applyFill="1" applyBorder="1"/>
    <xf numFmtId="9" fontId="12" fillId="15" borderId="0" xfId="6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horizontal="center" vertical="center"/>
    </xf>
    <xf numFmtId="166" fontId="12" fillId="15" borderId="0" xfId="0" applyNumberFormat="1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 vertical="center" wrapText="1"/>
    </xf>
    <xf numFmtId="0" fontId="24" fillId="12" borderId="43" xfId="0" applyFont="1" applyFill="1" applyBorder="1" applyAlignment="1">
      <alignment horizontal="center"/>
    </xf>
    <xf numFmtId="0" fontId="24" fillId="12" borderId="5" xfId="0" applyFont="1" applyFill="1" applyBorder="1" applyAlignment="1">
      <alignment horizontal="center"/>
    </xf>
    <xf numFmtId="0" fontId="24" fillId="12" borderId="47" xfId="0" applyFont="1" applyFill="1" applyBorder="1" applyAlignment="1">
      <alignment horizontal="center"/>
    </xf>
    <xf numFmtId="0" fontId="14" fillId="7" borderId="43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66" fontId="12" fillId="12" borderId="22" xfId="0" applyNumberFormat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center"/>
    </xf>
    <xf numFmtId="0" fontId="12" fillId="19" borderId="17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166" fontId="12" fillId="19" borderId="22" xfId="0" applyNumberFormat="1" applyFont="1" applyFill="1" applyBorder="1" applyAlignment="1" applyProtection="1">
      <alignment horizontal="center"/>
    </xf>
    <xf numFmtId="0" fontId="24" fillId="1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19" borderId="22" xfId="0" applyFont="1" applyFill="1" applyBorder="1" applyAlignment="1" applyProtection="1">
      <alignment horizontal="center" vertical="center"/>
    </xf>
    <xf numFmtId="0" fontId="12" fillId="19" borderId="23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169" fontId="12" fillId="19" borderId="25" xfId="0" applyNumberFormat="1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>
      <alignment horizontal="center"/>
    </xf>
    <xf numFmtId="0" fontId="12" fillId="0" borderId="0" xfId="0" applyFont="1" applyBorder="1"/>
    <xf numFmtId="0" fontId="12" fillId="12" borderId="0" xfId="0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24" fillId="0" borderId="0" xfId="0" applyFont="1" applyAlignment="1"/>
    <xf numFmtId="0" fontId="13" fillId="18" borderId="7" xfId="0" applyFont="1" applyFill="1" applyBorder="1"/>
    <xf numFmtId="0" fontId="12" fillId="18" borderId="0" xfId="0" applyFont="1" applyFill="1" applyBorder="1"/>
    <xf numFmtId="0" fontId="12" fillId="15" borderId="15" xfId="0" applyFont="1" applyFill="1" applyBorder="1"/>
    <xf numFmtId="0" fontId="25" fillId="15" borderId="0" xfId="0" applyFont="1" applyFill="1" applyBorder="1"/>
    <xf numFmtId="0" fontId="14" fillId="11" borderId="12" xfId="0" applyFont="1" applyFill="1" applyBorder="1"/>
    <xf numFmtId="0" fontId="14" fillId="6" borderId="12" xfId="0" applyFont="1" applyFill="1" applyBorder="1"/>
    <xf numFmtId="0" fontId="14" fillId="7" borderId="12" xfId="0" applyFont="1" applyFill="1" applyBorder="1"/>
    <xf numFmtId="0" fontId="12" fillId="19" borderId="6" xfId="0" applyFont="1" applyFill="1" applyBorder="1"/>
    <xf numFmtId="0" fontId="14" fillId="20" borderId="0" xfId="0" applyFont="1" applyFill="1" applyBorder="1"/>
    <xf numFmtId="0" fontId="14" fillId="2" borderId="1" xfId="2" applyFont="1" applyBorder="1" applyAlignment="1">
      <alignment horizontal="center"/>
    </xf>
    <xf numFmtId="0" fontId="12" fillId="12" borderId="1" xfId="7" applyFont="1" applyFill="1" applyBorder="1" applyAlignment="1">
      <alignment horizontal="right"/>
    </xf>
    <xf numFmtId="0" fontId="12" fillId="19" borderId="47" xfId="0" applyFont="1" applyFill="1" applyBorder="1" applyAlignment="1"/>
    <xf numFmtId="0" fontId="14" fillId="11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12" borderId="1" xfId="7" applyFont="1" applyFill="1" applyBorder="1" applyAlignment="1">
      <alignment vertical="center"/>
    </xf>
    <xf numFmtId="0" fontId="12" fillId="15" borderId="0" xfId="0" applyFont="1" applyFill="1" applyBorder="1" applyAlignment="1">
      <alignment vertical="center"/>
    </xf>
    <xf numFmtId="0" fontId="21" fillId="2" borderId="1" xfId="2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/>
    <xf numFmtId="0" fontId="21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5" fillId="19" borderId="18" xfId="0" applyFont="1" applyFill="1" applyBorder="1" applyAlignment="1">
      <alignment vertical="center"/>
    </xf>
    <xf numFmtId="0" fontId="12" fillId="19" borderId="18" xfId="0" applyFont="1" applyFill="1" applyBorder="1"/>
    <xf numFmtId="0" fontId="12" fillId="0" borderId="1" xfId="0" applyFont="1" applyFill="1" applyBorder="1"/>
    <xf numFmtId="0" fontId="12" fillId="18" borderId="18" xfId="0" applyFont="1" applyFill="1" applyBorder="1"/>
    <xf numFmtId="0" fontId="12" fillId="0" borderId="18" xfId="0" applyFont="1" applyBorder="1"/>
    <xf numFmtId="0" fontId="14" fillId="2" borderId="26" xfId="2" applyFont="1" applyBorder="1" applyAlignment="1">
      <alignment horizontal="center" vertical="center"/>
    </xf>
    <xf numFmtId="0" fontId="14" fillId="2" borderId="0" xfId="2" applyFont="1" applyBorder="1" applyAlignment="1">
      <alignment horizontal="center" vertical="center"/>
    </xf>
    <xf numFmtId="0" fontId="12" fillId="12" borderId="18" xfId="0" applyFont="1" applyFill="1" applyBorder="1" applyAlignment="1">
      <alignment horizontal="right" vertical="center"/>
    </xf>
    <xf numFmtId="0" fontId="12" fillId="16" borderId="39" xfId="7" applyFont="1" applyBorder="1" applyAlignment="1">
      <alignment horizontal="center" vertical="center"/>
    </xf>
    <xf numFmtId="0" fontId="12" fillId="16" borderId="40" xfId="7" applyFont="1" applyBorder="1" applyAlignment="1">
      <alignment horizontal="center" vertical="center"/>
    </xf>
    <xf numFmtId="1" fontId="12" fillId="12" borderId="18" xfId="0" applyNumberFormat="1" applyFont="1" applyFill="1" applyBorder="1" applyAlignment="1">
      <alignment horizontal="right" vertical="center"/>
    </xf>
    <xf numFmtId="0" fontId="12" fillId="15" borderId="18" xfId="0" applyFont="1" applyFill="1" applyBorder="1"/>
    <xf numFmtId="0" fontId="21" fillId="11" borderId="1" xfId="0" applyFont="1" applyFill="1" applyBorder="1" applyAlignment="1">
      <alignment horizontal="center" vertical="center" wrapText="1"/>
    </xf>
    <xf numFmtId="168" fontId="12" fillId="13" borderId="1" xfId="0" applyNumberFormat="1" applyFont="1" applyFill="1" applyBorder="1" applyAlignment="1">
      <alignment horizontal="right"/>
    </xf>
    <xf numFmtId="0" fontId="24" fillId="0" borderId="18" xfId="0" applyFont="1" applyBorder="1" applyAlignment="1">
      <alignment vertical="center"/>
    </xf>
    <xf numFmtId="0" fontId="12" fillId="15" borderId="26" xfId="0" applyFont="1" applyFill="1" applyBorder="1"/>
    <xf numFmtId="0" fontId="15" fillId="15" borderId="0" xfId="0" applyFont="1" applyFill="1" applyBorder="1" applyAlignment="1">
      <alignment horizontal="center"/>
    </xf>
    <xf numFmtId="0" fontId="12" fillId="12" borderId="18" xfId="8" applyFont="1" applyFill="1" applyBorder="1" applyAlignment="1">
      <alignment horizontal="center" vertical="center" wrapText="1"/>
    </xf>
    <xf numFmtId="0" fontId="14" fillId="6" borderId="17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6" borderId="22" xfId="0" applyFont="1" applyFill="1" applyBorder="1" applyAlignment="1"/>
    <xf numFmtId="166" fontId="12" fillId="12" borderId="18" xfId="0" applyNumberFormat="1" applyFont="1" applyFill="1" applyBorder="1" applyAlignment="1">
      <alignment horizontal="right"/>
    </xf>
    <xf numFmtId="0" fontId="21" fillId="6" borderId="17" xfId="3" applyFont="1" applyFill="1" applyBorder="1" applyAlignment="1">
      <alignment horizontal="center" vertical="center"/>
    </xf>
    <xf numFmtId="2" fontId="21" fillId="6" borderId="22" xfId="0" applyNumberFormat="1" applyFont="1" applyFill="1" applyBorder="1" applyProtection="1"/>
    <xf numFmtId="0" fontId="13" fillId="15" borderId="0" xfId="0" applyFont="1" applyFill="1" applyBorder="1" applyAlignment="1">
      <alignment vertical="center"/>
    </xf>
    <xf numFmtId="0" fontId="12" fillId="15" borderId="39" xfId="0" applyFont="1" applyFill="1" applyBorder="1"/>
    <xf numFmtId="0" fontId="12" fillId="15" borderId="40" xfId="0" applyFont="1" applyFill="1" applyBorder="1"/>
    <xf numFmtId="0" fontId="12" fillId="15" borderId="41" xfId="0" applyFont="1" applyFill="1" applyBorder="1"/>
    <xf numFmtId="0" fontId="24" fillId="0" borderId="22" xfId="0" applyFont="1" applyBorder="1" applyAlignment="1">
      <alignment horizontal="right"/>
    </xf>
    <xf numFmtId="2" fontId="12" fillId="0" borderId="22" xfId="0" applyNumberFormat="1" applyFont="1" applyBorder="1"/>
    <xf numFmtId="0" fontId="12" fillId="19" borderId="17" xfId="2" applyFont="1" applyFill="1" applyBorder="1" applyAlignment="1">
      <alignment horizontal="center" vertical="center"/>
    </xf>
    <xf numFmtId="166" fontId="12" fillId="19" borderId="22" xfId="0" applyNumberFormat="1" applyFont="1" applyFill="1" applyBorder="1" applyAlignment="1" applyProtection="1">
      <alignment horizontal="right"/>
      <protection locked="0"/>
    </xf>
    <xf numFmtId="0" fontId="12" fillId="15" borderId="0" xfId="8" applyFont="1" applyFill="1" applyBorder="1" applyAlignment="1">
      <alignment vertical="center" wrapText="1"/>
    </xf>
    <xf numFmtId="0" fontId="12" fillId="15" borderId="0" xfId="8" applyFont="1" applyFill="1" applyBorder="1" applyAlignment="1">
      <alignment vertical="center"/>
    </xf>
    <xf numFmtId="0" fontId="12" fillId="19" borderId="22" xfId="0" applyFont="1" applyFill="1" applyBorder="1" applyAlignment="1" applyProtection="1">
      <alignment horizontal="right"/>
      <protection locked="0"/>
    </xf>
    <xf numFmtId="0" fontId="13" fillId="15" borderId="0" xfId="0" applyFont="1" applyFill="1" applyBorder="1" applyAlignment="1"/>
    <xf numFmtId="0" fontId="14" fillId="7" borderId="17" xfId="5" applyFont="1" applyFill="1" applyBorder="1" applyAlignment="1">
      <alignment vertical="center" wrapText="1"/>
    </xf>
    <xf numFmtId="166" fontId="12" fillId="0" borderId="22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166" fontId="12" fillId="19" borderId="22" xfId="0" applyNumberFormat="1" applyFont="1" applyFill="1" applyBorder="1" applyProtection="1">
      <protection locked="0"/>
    </xf>
    <xf numFmtId="164" fontId="12" fillId="19" borderId="22" xfId="0" applyNumberFormat="1" applyFont="1" applyFill="1" applyBorder="1" applyProtection="1">
      <protection locked="0"/>
    </xf>
    <xf numFmtId="0" fontId="12" fillId="19" borderId="23" xfId="0" applyFont="1" applyFill="1" applyBorder="1" applyAlignment="1">
      <alignment horizontal="center" vertical="center"/>
    </xf>
    <xf numFmtId="0" fontId="12" fillId="0" borderId="24" xfId="0" applyFont="1" applyBorder="1"/>
    <xf numFmtId="166" fontId="12" fillId="19" borderId="25" xfId="0" applyNumberFormat="1" applyFont="1" applyFill="1" applyBorder="1" applyProtection="1">
      <protection locked="0"/>
    </xf>
    <xf numFmtId="0" fontId="12" fillId="12" borderId="18" xfId="0" applyFont="1" applyFill="1" applyBorder="1"/>
    <xf numFmtId="0" fontId="12" fillId="12" borderId="0" xfId="8" applyFont="1" applyFill="1" applyBorder="1" applyAlignment="1">
      <alignment vertical="center"/>
    </xf>
    <xf numFmtId="0" fontId="12" fillId="12" borderId="0" xfId="8" applyFont="1" applyFill="1" applyBorder="1" applyAlignment="1">
      <alignment vertical="center" wrapText="1"/>
    </xf>
    <xf numFmtId="0" fontId="12" fillId="12" borderId="0" xfId="0" applyFont="1" applyFill="1" applyBorder="1" applyAlignment="1">
      <alignment vertical="center" wrapText="1"/>
    </xf>
    <xf numFmtId="0" fontId="12" fillId="12" borderId="0" xfId="0" applyFont="1" applyFill="1" applyBorder="1" applyAlignment="1">
      <alignment vertical="center"/>
    </xf>
    <xf numFmtId="0" fontId="12" fillId="12" borderId="26" xfId="0" applyFont="1" applyFill="1" applyBorder="1"/>
    <xf numFmtId="0" fontId="12" fillId="12" borderId="39" xfId="0" applyFont="1" applyFill="1" applyBorder="1"/>
    <xf numFmtId="0" fontId="12" fillId="12" borderId="40" xfId="0" applyFont="1" applyFill="1" applyBorder="1"/>
    <xf numFmtId="0" fontId="12" fillId="12" borderId="41" xfId="0" applyFont="1" applyFill="1" applyBorder="1"/>
    <xf numFmtId="0" fontId="12" fillId="0" borderId="0" xfId="0" applyFont="1" applyBorder="1" applyAlignment="1"/>
    <xf numFmtId="0" fontId="12" fillId="0" borderId="8" xfId="0" applyFont="1" applyBorder="1"/>
    <xf numFmtId="164" fontId="12" fillId="0" borderId="0" xfId="0" applyNumberFormat="1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/>
    <xf numFmtId="11" fontId="12" fillId="0" borderId="0" xfId="0" applyNumberFormat="1" applyFont="1"/>
    <xf numFmtId="0" fontId="12" fillId="0" borderId="1" xfId="0" applyFont="1" applyBorder="1" applyAlignment="1">
      <alignment horizontal="center"/>
    </xf>
    <xf numFmtId="0" fontId="12" fillId="12" borderId="22" xfId="0" applyNumberFormat="1" applyFont="1" applyFill="1" applyBorder="1" applyAlignment="1" applyProtection="1">
      <alignment horizontal="right"/>
      <protection locked="0"/>
    </xf>
    <xf numFmtId="0" fontId="12" fillId="0" borderId="24" xfId="0" applyFont="1" applyFill="1" applyBorder="1" applyAlignment="1">
      <alignment horizontal="center" vertical="center" wrapText="1"/>
    </xf>
    <xf numFmtId="0" fontId="12" fillId="12" borderId="25" xfId="0" applyNumberFormat="1" applyFont="1" applyFill="1" applyBorder="1" applyAlignment="1">
      <alignment horizontal="right"/>
    </xf>
    <xf numFmtId="0" fontId="17" fillId="19" borderId="26" xfId="0" applyFont="1" applyFill="1" applyBorder="1" applyAlignment="1">
      <alignment horizontal="center" vertical="center"/>
    </xf>
    <xf numFmtId="0" fontId="17" fillId="19" borderId="0" xfId="0" applyFont="1" applyFill="1" applyBorder="1" applyAlignment="1">
      <alignment horizontal="center" vertical="center"/>
    </xf>
    <xf numFmtId="0" fontId="12" fillId="19" borderId="26" xfId="0" applyFont="1" applyFill="1" applyBorder="1" applyAlignment="1">
      <alignment horizontal="center"/>
    </xf>
    <xf numFmtId="0" fontId="12" fillId="19" borderId="0" xfId="0" applyFont="1" applyFill="1" applyBorder="1" applyAlignment="1">
      <alignment horizontal="center"/>
    </xf>
    <xf numFmtId="0" fontId="12" fillId="19" borderId="26" xfId="0" applyFont="1" applyFill="1" applyBorder="1" applyAlignment="1">
      <alignment horizontal="center" vertical="center"/>
    </xf>
    <xf numFmtId="0" fontId="12" fillId="19" borderId="0" xfId="0" applyFont="1" applyFill="1" applyBorder="1" applyAlignment="1">
      <alignment horizontal="center" vertical="center"/>
    </xf>
    <xf numFmtId="0" fontId="12" fillId="19" borderId="1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169" fontId="13" fillId="0" borderId="48" xfId="0" applyNumberFormat="1" applyFont="1" applyBorder="1" applyAlignment="1">
      <alignment horizontal="center"/>
    </xf>
    <xf numFmtId="169" fontId="13" fillId="0" borderId="41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9" fontId="12" fillId="19" borderId="39" xfId="6" applyFont="1" applyFill="1" applyBorder="1" applyAlignment="1">
      <alignment horizontal="center" vertical="center"/>
    </xf>
    <xf numFmtId="9" fontId="12" fillId="19" borderId="40" xfId="6" applyFont="1" applyFill="1" applyBorder="1" applyAlignment="1">
      <alignment horizontal="center" vertical="center"/>
    </xf>
    <xf numFmtId="0" fontId="13" fillId="12" borderId="34" xfId="0" applyFont="1" applyFill="1" applyBorder="1" applyAlignment="1">
      <alignment horizontal="center"/>
    </xf>
    <xf numFmtId="0" fontId="13" fillId="12" borderId="13" xfId="0" applyFont="1" applyFill="1" applyBorder="1" applyAlignment="1">
      <alignment horizontal="center"/>
    </xf>
    <xf numFmtId="0" fontId="13" fillId="12" borderId="49" xfId="0" applyFont="1" applyFill="1" applyBorder="1" applyAlignment="1">
      <alignment horizontal="center"/>
    </xf>
    <xf numFmtId="0" fontId="13" fillId="12" borderId="38" xfId="0" applyFont="1" applyFill="1" applyBorder="1" applyAlignment="1">
      <alignment horizontal="center"/>
    </xf>
    <xf numFmtId="0" fontId="12" fillId="19" borderId="39" xfId="0" applyFont="1" applyFill="1" applyBorder="1" applyAlignment="1">
      <alignment horizontal="center"/>
    </xf>
    <xf numFmtId="0" fontId="12" fillId="19" borderId="40" xfId="0" applyFont="1" applyFill="1" applyBorder="1" applyAlignment="1">
      <alignment horizontal="center"/>
    </xf>
    <xf numFmtId="0" fontId="12" fillId="19" borderId="14" xfId="0" applyFont="1" applyFill="1" applyBorder="1" applyAlignment="1">
      <alignment horizontal="center"/>
    </xf>
    <xf numFmtId="0" fontId="12" fillId="19" borderId="15" xfId="0" applyFont="1" applyFill="1" applyBorder="1" applyAlignment="1">
      <alignment horizontal="center"/>
    </xf>
    <xf numFmtId="0" fontId="17" fillId="19" borderId="26" xfId="2" applyFont="1" applyFill="1" applyBorder="1" applyAlignment="1">
      <alignment horizontal="center" vertical="center" wrapText="1"/>
    </xf>
    <xf numFmtId="0" fontId="17" fillId="19" borderId="0" xfId="2" applyFont="1" applyFill="1" applyBorder="1" applyAlignment="1">
      <alignment horizontal="center" vertical="center" wrapText="1"/>
    </xf>
    <xf numFmtId="0" fontId="17" fillId="19" borderId="26" xfId="0" applyFont="1" applyFill="1" applyBorder="1" applyAlignment="1">
      <alignment horizontal="center"/>
    </xf>
    <xf numFmtId="0" fontId="17" fillId="19" borderId="0" xfId="0" applyFont="1" applyFill="1" applyBorder="1" applyAlignment="1">
      <alignment horizontal="center"/>
    </xf>
    <xf numFmtId="0" fontId="17" fillId="19" borderId="18" xfId="0" applyFont="1" applyFill="1" applyBorder="1" applyAlignment="1">
      <alignment horizontal="center"/>
    </xf>
    <xf numFmtId="0" fontId="13" fillId="19" borderId="27" xfId="0" applyFont="1" applyFill="1" applyBorder="1" applyAlignment="1">
      <alignment horizontal="center"/>
    </xf>
    <xf numFmtId="0" fontId="12" fillId="19" borderId="28" xfId="0" applyFont="1" applyFill="1" applyBorder="1" applyAlignment="1">
      <alignment horizontal="center"/>
    </xf>
    <xf numFmtId="0" fontId="12" fillId="19" borderId="29" xfId="0" applyFont="1" applyFill="1" applyBorder="1" applyAlignment="1">
      <alignment horizontal="center"/>
    </xf>
    <xf numFmtId="0" fontId="16" fillId="19" borderId="34" xfId="0" applyFont="1" applyFill="1" applyBorder="1" applyAlignment="1">
      <alignment horizontal="center"/>
    </xf>
    <xf numFmtId="0" fontId="16" fillId="19" borderId="11" xfId="0" applyFont="1" applyFill="1" applyBorder="1" applyAlignment="1">
      <alignment horizontal="center"/>
    </xf>
    <xf numFmtId="0" fontId="16" fillId="19" borderId="38" xfId="0" applyFont="1" applyFill="1" applyBorder="1" applyAlignment="1">
      <alignment horizontal="center"/>
    </xf>
    <xf numFmtId="0" fontId="12" fillId="19" borderId="26" xfId="8" applyFont="1" applyFill="1" applyBorder="1" applyAlignment="1">
      <alignment horizontal="center" vertical="center"/>
    </xf>
    <xf numFmtId="0" fontId="12" fillId="19" borderId="0" xfId="8" applyFont="1" applyFill="1" applyBorder="1" applyAlignment="1">
      <alignment horizontal="center" vertical="center"/>
    </xf>
    <xf numFmtId="0" fontId="12" fillId="19" borderId="18" xfId="8" applyFont="1" applyFill="1" applyBorder="1" applyAlignment="1">
      <alignment horizontal="center" vertical="center"/>
    </xf>
    <xf numFmtId="0" fontId="19" fillId="19" borderId="26" xfId="0" applyFont="1" applyFill="1" applyBorder="1" applyAlignment="1">
      <alignment horizontal="center"/>
    </xf>
    <xf numFmtId="0" fontId="19" fillId="19" borderId="0" xfId="0" applyFont="1" applyFill="1" applyBorder="1" applyAlignment="1">
      <alignment horizontal="center"/>
    </xf>
    <xf numFmtId="0" fontId="19" fillId="19" borderId="18" xfId="0" applyFont="1" applyFill="1" applyBorder="1" applyAlignment="1">
      <alignment horizontal="center"/>
    </xf>
    <xf numFmtId="0" fontId="12" fillId="19" borderId="43" xfId="0" applyFont="1" applyFill="1" applyBorder="1" applyAlignment="1">
      <alignment horizontal="center"/>
    </xf>
    <xf numFmtId="0" fontId="12" fillId="19" borderId="5" xfId="0" applyFont="1" applyFill="1" applyBorder="1" applyAlignment="1">
      <alignment horizontal="center"/>
    </xf>
    <xf numFmtId="166" fontId="12" fillId="19" borderId="22" xfId="0" applyNumberFormat="1" applyFont="1" applyFill="1" applyBorder="1" applyAlignment="1" applyProtection="1">
      <alignment horizontal="right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23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165" fontId="12" fillId="0" borderId="22" xfId="0" applyNumberFormat="1" applyFont="1" applyBorder="1" applyAlignment="1">
      <alignment horizontal="right"/>
    </xf>
    <xf numFmtId="165" fontId="12" fillId="0" borderId="25" xfId="0" applyNumberFormat="1" applyFont="1" applyBorder="1" applyAlignment="1">
      <alignment horizontal="right"/>
    </xf>
    <xf numFmtId="0" fontId="24" fillId="0" borderId="3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1" xfId="0" applyFont="1" applyBorder="1" applyAlignment="1">
      <alignment horizontal="right"/>
    </xf>
    <xf numFmtId="0" fontId="24" fillId="0" borderId="32" xfId="0" applyFont="1" applyBorder="1" applyAlignment="1">
      <alignment horizontal="right"/>
    </xf>
    <xf numFmtId="0" fontId="12" fillId="19" borderId="17" xfId="0" applyFont="1" applyFill="1" applyBorder="1" applyAlignment="1">
      <alignment horizontal="center" vertical="center"/>
    </xf>
    <xf numFmtId="0" fontId="12" fillId="19" borderId="17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6" fillId="12" borderId="15" xfId="1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2" borderId="17" xfId="2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right"/>
      <protection locked="0"/>
    </xf>
    <xf numFmtId="0" fontId="21" fillId="2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7" fillId="19" borderId="18" xfId="0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2" fontId="12" fillId="12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21" fillId="11" borderId="1" xfId="3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/>
    </xf>
    <xf numFmtId="0" fontId="21" fillId="6" borderId="35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2" fontId="21" fillId="6" borderId="31" xfId="0" applyNumberFormat="1" applyFont="1" applyFill="1" applyBorder="1" applyAlignment="1">
      <alignment horizontal="right"/>
    </xf>
    <xf numFmtId="2" fontId="21" fillId="6" borderId="37" xfId="0" applyNumberFormat="1" applyFont="1" applyFill="1" applyBorder="1" applyAlignment="1">
      <alignment horizontal="right"/>
    </xf>
    <xf numFmtId="9" fontId="12" fillId="19" borderId="41" xfId="6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12" borderId="31" xfId="0" applyFont="1" applyFill="1" applyBorder="1" applyAlignment="1">
      <alignment horizontal="right"/>
    </xf>
    <xf numFmtId="0" fontId="12" fillId="12" borderId="32" xfId="0" applyFont="1" applyFill="1" applyBorder="1" applyAlignment="1">
      <alignment horizontal="right"/>
    </xf>
    <xf numFmtId="0" fontId="12" fillId="12" borderId="1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10" fontId="12" fillId="12" borderId="31" xfId="0" applyNumberFormat="1" applyFont="1" applyFill="1" applyBorder="1" applyAlignment="1">
      <alignment horizontal="right" wrapText="1"/>
    </xf>
    <xf numFmtId="10" fontId="12" fillId="12" borderId="32" xfId="0" applyNumberFormat="1" applyFont="1" applyFill="1" applyBorder="1" applyAlignment="1">
      <alignment horizontal="right" wrapText="1"/>
    </xf>
    <xf numFmtId="169" fontId="13" fillId="0" borderId="1" xfId="0" applyNumberFormat="1" applyFont="1" applyBorder="1" applyAlignment="1">
      <alignment horizontal="center" vertical="center"/>
    </xf>
    <xf numFmtId="169" fontId="13" fillId="0" borderId="22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9" borderId="18" xfId="0" applyFont="1" applyFill="1" applyBorder="1" applyAlignment="1">
      <alignment horizontal="center" vertical="center"/>
    </xf>
    <xf numFmtId="0" fontId="17" fillId="19" borderId="18" xfId="2" applyFont="1" applyFill="1" applyBorder="1" applyAlignment="1">
      <alignment horizontal="center" vertical="center" wrapText="1"/>
    </xf>
    <xf numFmtId="0" fontId="16" fillId="19" borderId="26" xfId="0" applyFont="1" applyFill="1" applyBorder="1" applyAlignment="1">
      <alignment horizontal="center"/>
    </xf>
    <xf numFmtId="0" fontId="16" fillId="19" borderId="0" xfId="0" applyFont="1" applyFill="1" applyBorder="1" applyAlignment="1">
      <alignment horizontal="center"/>
    </xf>
    <xf numFmtId="0" fontId="16" fillId="19" borderId="18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12" borderId="22" xfId="0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12" borderId="53" xfId="0" applyFont="1" applyFill="1" applyBorder="1" applyAlignment="1">
      <alignment horizontal="center" vertical="top" wrapText="1"/>
    </xf>
    <xf numFmtId="0" fontId="12" fillId="12" borderId="32" xfId="0" applyFont="1" applyFill="1" applyBorder="1" applyAlignment="1">
      <alignment horizontal="center" vertical="top" wrapText="1"/>
    </xf>
    <xf numFmtId="0" fontId="14" fillId="2" borderId="30" xfId="2" applyFont="1" applyBorder="1" applyAlignment="1">
      <alignment horizontal="center" vertical="center"/>
    </xf>
    <xf numFmtId="0" fontId="14" fillId="2" borderId="19" xfId="2" applyFont="1" applyBorder="1" applyAlignment="1">
      <alignment horizontal="center" vertical="center"/>
    </xf>
    <xf numFmtId="0" fontId="14" fillId="7" borderId="30" xfId="0" applyFont="1" applyFill="1" applyBorder="1" applyAlignment="1">
      <alignment horizontal="center"/>
    </xf>
    <xf numFmtId="0" fontId="14" fillId="7" borderId="35" xfId="0" applyFont="1" applyFill="1" applyBorder="1" applyAlignment="1">
      <alignment horizontal="center"/>
    </xf>
    <xf numFmtId="170" fontId="12" fillId="12" borderId="31" xfId="6" applyNumberFormat="1" applyFont="1" applyFill="1" applyBorder="1" applyAlignment="1">
      <alignment horizontal="center"/>
    </xf>
    <xf numFmtId="170" fontId="12" fillId="12" borderId="37" xfId="6" applyNumberFormat="1" applyFont="1" applyFill="1" applyBorder="1" applyAlignment="1">
      <alignment horizont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4" fillId="11" borderId="30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12" borderId="1" xfId="0" applyFont="1" applyFill="1" applyBorder="1" applyAlignment="1">
      <alignment horizontal="center"/>
    </xf>
  </cellXfs>
  <cellStyles count="9">
    <cellStyle name="20% - Accent1" xfId="7" builtinId="30"/>
    <cellStyle name="40% - Accent2" xfId="8" builtinId="35"/>
    <cellStyle name="Accent1" xfId="2" builtinId="29"/>
    <cellStyle name="Accent2" xfId="3" builtinId="33"/>
    <cellStyle name="Accent3" xfId="4" builtinId="37"/>
    <cellStyle name="Accent6" xfId="5" builtinId="49"/>
    <cellStyle name="Normal" xfId="0" builtinId="0"/>
    <cellStyle name="Percent" xfId="6" builtinId="5"/>
    <cellStyle name="Title" xfId="1" builtinId="15"/>
  </cellStyles>
  <dxfs count="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rgb="FFFF0000"/>
      </font>
    </dxf>
    <dxf>
      <font>
        <b val="0"/>
        <i val="0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AEA"/>
      <color rgb="FFFFB3B3"/>
      <color rgb="FFFF5050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0</xdr:rowOff>
    </xdr:from>
    <xdr:to>
      <xdr:col>2</xdr:col>
      <xdr:colOff>713921</xdr:colOff>
      <xdr:row>5</xdr:row>
      <xdr:rowOff>140161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97CA4-D48D-4752-A056-C218EC33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578" y="0"/>
          <a:ext cx="3689804" cy="12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1544411</xdr:colOff>
      <xdr:row>0</xdr:row>
      <xdr:rowOff>200025</xdr:rowOff>
    </xdr:from>
    <xdr:to>
      <xdr:col>6</xdr:col>
      <xdr:colOff>1945821</xdr:colOff>
      <xdr:row>4</xdr:row>
      <xdr:rowOff>149679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67B681-F468-438F-A801-0E0ABAB062B2}"/>
            </a:ext>
          </a:extLst>
        </xdr:cNvPr>
        <xdr:cNvSpPr txBox="1"/>
      </xdr:nvSpPr>
      <xdr:spPr>
        <a:xfrm>
          <a:off x="6973661" y="200025"/>
          <a:ext cx="535441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Note: This Calculator always maximizes DAC output swing in order to maximize step resolution. Therefore, R3 is always chosen with</a:t>
          </a:r>
          <a:r>
            <a:rPr lang="en-US" sz="1600" baseline="0"/>
            <a:t> DAC output voltage range equal to 2*Vref</a:t>
          </a:r>
          <a:endParaRPr lang="en-US" sz="1600"/>
        </a:p>
      </xdr:txBody>
    </xdr:sp>
    <xdr:clientData/>
  </xdr:twoCellAnchor>
  <xdr:twoCellAnchor editAs="oneCell">
    <xdr:from>
      <xdr:col>6</xdr:col>
      <xdr:colOff>2165732</xdr:colOff>
      <xdr:row>24</xdr:row>
      <xdr:rowOff>148449</xdr:rowOff>
    </xdr:from>
    <xdr:to>
      <xdr:col>10</xdr:col>
      <xdr:colOff>974280</xdr:colOff>
      <xdr:row>26</xdr:row>
      <xdr:rowOff>112038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9F16D6-4ED0-44C6-B2B6-B704B4504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0187" y="6359904"/>
          <a:ext cx="4800639" cy="50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1783193</xdr:colOff>
      <xdr:row>0</xdr:row>
      <xdr:rowOff>0</xdr:rowOff>
    </xdr:from>
    <xdr:to>
      <xdr:col>2</xdr:col>
      <xdr:colOff>623620</xdr:colOff>
      <xdr:row>6</xdr:row>
      <xdr:rowOff>103909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284F63-1053-448B-B5DC-42906119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193" y="0"/>
          <a:ext cx="3781882" cy="135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1544411</xdr:colOff>
      <xdr:row>0</xdr:row>
      <xdr:rowOff>200025</xdr:rowOff>
    </xdr:from>
    <xdr:to>
      <xdr:col>6</xdr:col>
      <xdr:colOff>1945821</xdr:colOff>
      <xdr:row>4</xdr:row>
      <xdr:rowOff>149679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985B318-2ACA-4005-9BB8-B44665059D28}"/>
            </a:ext>
          </a:extLst>
        </xdr:cNvPr>
        <xdr:cNvSpPr txBox="1"/>
      </xdr:nvSpPr>
      <xdr:spPr>
        <a:xfrm>
          <a:off x="7557861" y="200025"/>
          <a:ext cx="6821260" cy="921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Note: This Calculator always maximizes DAC output swing in order to maximize step resolution. Therefore, R3 is always chosen with</a:t>
          </a:r>
          <a:r>
            <a:rPr lang="en-US" sz="1600" baseline="0"/>
            <a:t> DAC output voltage range equal to 2*Vref</a:t>
          </a:r>
          <a:endParaRPr 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587375</xdr:colOff>
      <xdr:row>31</xdr:row>
      <xdr:rowOff>28575</xdr:rowOff>
    </xdr:from>
    <xdr:to>
      <xdr:col>15</xdr:col>
      <xdr:colOff>523873</xdr:colOff>
      <xdr:row>34</xdr:row>
      <xdr:rowOff>6431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0F933F-36CF-457B-B88B-4DA73D8CB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3650" y="6553200"/>
          <a:ext cx="4813298" cy="520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4365-EA66-4015-AE01-1E5363508EE5}">
  <dimension ref="A1:A26"/>
  <sheetViews>
    <sheetView tabSelected="1" zoomScale="130" zoomScaleNormal="130" workbookViewId="0"/>
  </sheetViews>
  <sheetFormatPr defaultColWidth="9.140625" defaultRowHeight="15" x14ac:dyDescent="0.25"/>
  <cols>
    <col min="1" max="1" width="233.85546875" style="19" customWidth="1"/>
    <col min="2" max="16384" width="9.140625" style="19"/>
  </cols>
  <sheetData>
    <row r="1" spans="1:1" ht="18.75" x14ac:dyDescent="0.3">
      <c r="A1" s="40" t="s">
        <v>141</v>
      </c>
    </row>
    <row r="2" spans="1:1" ht="18.75" x14ac:dyDescent="0.3">
      <c r="A2" s="41" t="s">
        <v>91</v>
      </c>
    </row>
    <row r="3" spans="1:1" ht="18.75" x14ac:dyDescent="0.3">
      <c r="A3" s="41" t="s">
        <v>142</v>
      </c>
    </row>
    <row r="4" spans="1:1" ht="18.75" x14ac:dyDescent="0.3">
      <c r="A4" s="41"/>
    </row>
    <row r="5" spans="1:1" ht="18.75" x14ac:dyDescent="0.3">
      <c r="A5" s="41" t="s">
        <v>92</v>
      </c>
    </row>
    <row r="6" spans="1:1" ht="18.75" x14ac:dyDescent="0.3">
      <c r="A6" s="41" t="s">
        <v>93</v>
      </c>
    </row>
    <row r="7" spans="1:1" ht="18.75" x14ac:dyDescent="0.3">
      <c r="A7" s="41" t="s">
        <v>94</v>
      </c>
    </row>
    <row r="8" spans="1:1" ht="18.75" x14ac:dyDescent="0.3">
      <c r="A8" s="41"/>
    </row>
    <row r="9" spans="1:1" ht="18.75" x14ac:dyDescent="0.3">
      <c r="A9" s="41" t="s">
        <v>103</v>
      </c>
    </row>
    <row r="10" spans="1:1" ht="18.75" x14ac:dyDescent="0.3">
      <c r="A10" s="41" t="s">
        <v>104</v>
      </c>
    </row>
    <row r="11" spans="1:1" ht="18.75" x14ac:dyDescent="0.3">
      <c r="A11" s="41" t="s">
        <v>105</v>
      </c>
    </row>
    <row r="12" spans="1:1" ht="18.75" x14ac:dyDescent="0.3">
      <c r="A12" s="41" t="s">
        <v>106</v>
      </c>
    </row>
    <row r="13" spans="1:1" ht="18.75" x14ac:dyDescent="0.3">
      <c r="A13" s="41" t="s">
        <v>135</v>
      </c>
    </row>
    <row r="14" spans="1:1" ht="18.75" x14ac:dyDescent="0.3">
      <c r="A14" s="41"/>
    </row>
    <row r="15" spans="1:1" ht="18.75" x14ac:dyDescent="0.3">
      <c r="A15" s="41"/>
    </row>
    <row r="16" spans="1:1" ht="18.75" x14ac:dyDescent="0.3">
      <c r="A16" s="41" t="s">
        <v>95</v>
      </c>
    </row>
    <row r="17" spans="1:1" ht="18.75" x14ac:dyDescent="0.3">
      <c r="A17" s="41" t="s">
        <v>96</v>
      </c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38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  <row r="25" spans="1:1" x14ac:dyDescent="0.25">
      <c r="A25" s="39"/>
    </row>
    <row r="26" spans="1:1" x14ac:dyDescent="0.25">
      <c r="A26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5887-92E3-405E-ACD2-4738CCC7E001}">
  <dimension ref="A1:U101"/>
  <sheetViews>
    <sheetView zoomScale="85" zoomScaleNormal="85" workbookViewId="0">
      <selection activeCell="C9" sqref="C9"/>
    </sheetView>
  </sheetViews>
  <sheetFormatPr defaultColWidth="8.7109375" defaultRowHeight="18" x14ac:dyDescent="0.25"/>
  <cols>
    <col min="1" max="1" width="37.85546875" style="48" customWidth="1"/>
    <col min="2" max="2" width="48.28515625" style="48" customWidth="1"/>
    <col min="3" max="3" width="25.7109375" style="48" customWidth="1"/>
    <col min="4" max="4" width="0.140625" style="48" customWidth="1"/>
    <col min="5" max="5" width="40.5703125" style="48" customWidth="1"/>
    <col min="6" max="6" width="27.7109375" style="48" customWidth="1"/>
    <col min="7" max="7" width="32.28515625" style="48" customWidth="1"/>
    <col min="8" max="8" width="27.85546875" style="48" customWidth="1"/>
    <col min="9" max="9" width="0.28515625" style="48" customWidth="1"/>
    <col min="10" max="10" width="25.42578125" style="48" customWidth="1"/>
    <col min="11" max="11" width="14.7109375" style="48" customWidth="1"/>
    <col min="12" max="12" width="51.85546875" style="48" customWidth="1"/>
    <col min="13" max="13" width="17.5703125" style="48" hidden="1" customWidth="1"/>
    <col min="14" max="14" width="17.42578125" style="48" hidden="1" customWidth="1"/>
    <col min="15" max="15" width="16.42578125" style="48" hidden="1" customWidth="1"/>
    <col min="16" max="16" width="16.140625" style="48" hidden="1" customWidth="1"/>
    <col min="17" max="17" width="11" style="48" hidden="1" customWidth="1"/>
    <col min="18" max="18" width="19.28515625" style="48" hidden="1" customWidth="1"/>
    <col min="19" max="19" width="15.42578125" style="48" customWidth="1"/>
    <col min="20" max="20" width="16.7109375" style="48" customWidth="1"/>
    <col min="21" max="22" width="12.42578125" style="48" customWidth="1"/>
    <col min="23" max="16384" width="8.7109375" style="48"/>
  </cols>
  <sheetData>
    <row r="1" spans="1:18" x14ac:dyDescent="0.25">
      <c r="A1" s="43"/>
      <c r="B1" s="43"/>
      <c r="C1" s="43"/>
      <c r="D1" s="44"/>
      <c r="E1" s="43"/>
      <c r="F1" s="43"/>
      <c r="G1" s="43"/>
      <c r="H1" s="118" t="s">
        <v>86</v>
      </c>
      <c r="I1" s="119"/>
      <c r="J1" s="120"/>
      <c r="K1" s="120"/>
      <c r="L1" s="121"/>
      <c r="M1" s="47"/>
      <c r="N1" s="47"/>
      <c r="O1" s="47"/>
      <c r="P1" s="47"/>
      <c r="Q1" s="47"/>
      <c r="R1" s="47"/>
    </row>
    <row r="2" spans="1:18" x14ac:dyDescent="0.25">
      <c r="A2" s="43"/>
      <c r="B2" s="43"/>
      <c r="C2" s="43"/>
      <c r="D2" s="43"/>
      <c r="E2" s="43"/>
      <c r="F2" s="43"/>
      <c r="G2" s="43"/>
      <c r="H2" s="122" t="s">
        <v>87</v>
      </c>
      <c r="J2" s="43"/>
      <c r="K2" s="43"/>
      <c r="L2" s="121"/>
      <c r="M2" s="47"/>
      <c r="N2" s="47"/>
      <c r="O2" s="47"/>
      <c r="P2" s="47"/>
      <c r="Q2" s="47"/>
      <c r="R2" s="47"/>
    </row>
    <row r="3" spans="1:18" ht="18.75" thickBot="1" x14ac:dyDescent="0.3">
      <c r="A3" s="43"/>
      <c r="B3" s="43"/>
      <c r="C3" s="43"/>
      <c r="D3" s="43"/>
      <c r="E3" s="43"/>
      <c r="F3" s="43"/>
      <c r="G3" s="43"/>
      <c r="H3" s="123" t="s">
        <v>89</v>
      </c>
      <c r="J3" s="43"/>
      <c r="K3" s="43"/>
      <c r="L3" s="121"/>
      <c r="M3" s="47"/>
      <c r="N3" s="47"/>
      <c r="O3" s="47"/>
      <c r="P3" s="47"/>
      <c r="Q3" s="47"/>
      <c r="R3" s="47"/>
    </row>
    <row r="4" spans="1:18" x14ac:dyDescent="0.25">
      <c r="A4" s="43"/>
      <c r="B4" s="43"/>
      <c r="C4" s="43"/>
      <c r="D4" s="43"/>
      <c r="E4" s="43"/>
      <c r="F4" s="43"/>
      <c r="G4" s="43"/>
      <c r="H4" s="124" t="s">
        <v>88</v>
      </c>
      <c r="J4" s="43"/>
      <c r="K4" s="43"/>
      <c r="L4" s="121"/>
      <c r="M4" s="265"/>
      <c r="N4" s="265"/>
      <c r="O4" s="265"/>
      <c r="P4" s="47"/>
      <c r="Q4" s="47"/>
      <c r="R4" s="47"/>
    </row>
    <row r="5" spans="1:18" x14ac:dyDescent="0.25">
      <c r="A5" s="43"/>
      <c r="B5" s="43"/>
      <c r="C5" s="43"/>
      <c r="D5" s="43"/>
      <c r="E5" s="43"/>
      <c r="F5" s="43"/>
      <c r="G5" s="43"/>
      <c r="H5" s="125" t="s">
        <v>90</v>
      </c>
      <c r="J5" s="43"/>
      <c r="K5" s="43"/>
      <c r="L5" s="121"/>
      <c r="M5" s="47"/>
      <c r="N5" s="47"/>
      <c r="O5" s="47"/>
      <c r="P5" s="47"/>
      <c r="Q5" s="47"/>
      <c r="R5" s="47"/>
    </row>
    <row r="6" spans="1:18" ht="18.75" thickBot="1" x14ac:dyDescent="0.3">
      <c r="A6" s="43"/>
      <c r="B6" s="43"/>
      <c r="C6" s="43"/>
      <c r="D6" s="43"/>
      <c r="E6" s="43"/>
      <c r="F6" s="43"/>
      <c r="G6" s="43"/>
      <c r="H6" s="126" t="s">
        <v>116</v>
      </c>
      <c r="J6" s="43"/>
      <c r="K6" s="43"/>
      <c r="L6" s="121"/>
      <c r="M6" s="47"/>
      <c r="N6" s="47"/>
      <c r="O6" s="47"/>
      <c r="P6" s="47"/>
      <c r="Q6" s="47"/>
      <c r="R6" s="47"/>
    </row>
    <row r="7" spans="1:18" x14ac:dyDescent="0.25">
      <c r="A7" s="266" t="s">
        <v>98</v>
      </c>
      <c r="B7" s="267"/>
      <c r="C7" s="268"/>
      <c r="D7" s="43"/>
      <c r="E7" s="232" t="s">
        <v>117</v>
      </c>
      <c r="F7" s="233"/>
      <c r="G7" s="233"/>
      <c r="H7" s="233"/>
      <c r="I7" s="234"/>
      <c r="J7" s="43"/>
      <c r="K7" s="43"/>
      <c r="L7" s="121"/>
      <c r="M7" s="47"/>
      <c r="N7" s="47"/>
      <c r="O7" s="47"/>
      <c r="P7" s="47"/>
      <c r="Q7" s="47"/>
      <c r="R7" s="47"/>
    </row>
    <row r="8" spans="1:18" ht="15.75" customHeight="1" x14ac:dyDescent="0.25">
      <c r="A8" s="127" t="s">
        <v>130</v>
      </c>
      <c r="B8" s="87" t="s">
        <v>131</v>
      </c>
      <c r="C8" s="128" t="s">
        <v>29</v>
      </c>
      <c r="D8" s="43"/>
      <c r="E8" s="244" t="s">
        <v>140</v>
      </c>
      <c r="F8" s="245"/>
      <c r="G8" s="245"/>
      <c r="H8" s="245"/>
      <c r="I8" s="129"/>
      <c r="J8" s="43"/>
      <c r="K8" s="43"/>
      <c r="L8" s="121"/>
      <c r="M8" s="47"/>
      <c r="N8" s="47"/>
      <c r="O8" s="47"/>
      <c r="P8" s="47"/>
      <c r="Q8" s="47"/>
      <c r="R8" s="47"/>
    </row>
    <row r="9" spans="1:18" ht="33" customHeight="1" x14ac:dyDescent="0.3">
      <c r="A9" s="130" t="s">
        <v>97</v>
      </c>
      <c r="B9" s="131" t="s">
        <v>132</v>
      </c>
      <c r="C9" s="132">
        <v>1</v>
      </c>
      <c r="D9" s="43"/>
      <c r="E9" s="235" t="s">
        <v>145</v>
      </c>
      <c r="F9" s="236"/>
      <c r="G9" s="236"/>
      <c r="H9" s="236"/>
      <c r="I9" s="237"/>
      <c r="J9" s="43"/>
      <c r="K9" s="43"/>
      <c r="L9" s="121"/>
      <c r="M9" s="47"/>
      <c r="N9" s="47"/>
      <c r="O9" s="47"/>
      <c r="P9" s="47"/>
      <c r="Q9" s="47"/>
      <c r="R9" s="47"/>
    </row>
    <row r="10" spans="1:18" ht="18.75" x14ac:dyDescent="0.3">
      <c r="A10" s="272" t="s">
        <v>165</v>
      </c>
      <c r="B10" s="264" t="s">
        <v>6</v>
      </c>
      <c r="C10" s="275">
        <v>0.1</v>
      </c>
      <c r="D10" s="43"/>
      <c r="E10" s="229" t="str">
        <f>"//Power-up the device (channel: "&amp; C9 &amp;") with "&amp; C18 &amp;" reference"</f>
        <v>//Power-up the device (channel: 1) with Internal reference</v>
      </c>
      <c r="F10" s="230"/>
      <c r="G10" s="230"/>
      <c r="H10" s="230"/>
      <c r="I10" s="231"/>
      <c r="J10" s="43"/>
      <c r="K10" s="43"/>
      <c r="L10" s="121"/>
      <c r="M10" s="47"/>
      <c r="N10" s="47"/>
      <c r="O10" s="47"/>
      <c r="P10" s="47"/>
      <c r="Q10" s="47"/>
      <c r="R10" s="47"/>
    </row>
    <row r="11" spans="1:18" ht="27" customHeight="1" x14ac:dyDescent="0.25">
      <c r="A11" s="272"/>
      <c r="B11" s="264"/>
      <c r="C11" s="275"/>
      <c r="D11" s="133"/>
      <c r="E11" s="205" t="str">
        <f>"WRITE COMMON_CONFIG("&amp; Pseudocode!B1 &amp;") (0x" &amp; Pseudocode!B2 &amp;Pseudocode!B3 &amp; ")"</f>
        <v>WRITE COMMON_CONFIG(0x1F) (0x1FCF)</v>
      </c>
      <c r="F11" s="206"/>
      <c r="G11" s="206"/>
      <c r="H11" s="206"/>
      <c r="I11" s="209"/>
      <c r="J11" s="43"/>
      <c r="K11" s="43"/>
      <c r="L11" s="121"/>
      <c r="M11" s="47"/>
      <c r="N11" s="47"/>
      <c r="O11" s="47"/>
      <c r="P11" s="50"/>
      <c r="Q11" s="47"/>
      <c r="R11" s="47"/>
    </row>
    <row r="12" spans="1:18" ht="20.25" customHeight="1" x14ac:dyDescent="0.25">
      <c r="A12" s="272" t="s">
        <v>134</v>
      </c>
      <c r="B12" s="264" t="s">
        <v>0</v>
      </c>
      <c r="C12" s="276">
        <v>0.6</v>
      </c>
      <c r="D12" s="43"/>
      <c r="E12" s="203" t="str">
        <f>"//If internal reference is selected, configure channel "&amp;C9&amp;" gain to x"&amp;C19&amp;""</f>
        <v>//If internal reference is selected, configure channel 1 gain to x1.5</v>
      </c>
      <c r="F12" s="204"/>
      <c r="G12" s="204"/>
      <c r="H12" s="204"/>
      <c r="I12" s="274"/>
      <c r="J12" s="43"/>
      <c r="K12" s="43"/>
      <c r="L12" s="121"/>
      <c r="M12" s="47"/>
      <c r="N12" s="47"/>
      <c r="O12" s="47"/>
      <c r="P12" s="50"/>
      <c r="Q12" s="47"/>
      <c r="R12" s="47"/>
    </row>
    <row r="13" spans="1:18" x14ac:dyDescent="0.25">
      <c r="A13" s="272"/>
      <c r="B13" s="264"/>
      <c r="C13" s="276"/>
      <c r="D13" s="43"/>
      <c r="E13" s="238" t="str">
        <f>"WRITE DAC-X-VOUT-CMP-CONFIG(0x"&amp;Pseudocode!E5&amp;"), (0x"&amp;Pseudocode!C6&amp;")"</f>
        <v>WRITE DAC-X-VOUT-CMP-CONFIG(0xD1), (0x400)</v>
      </c>
      <c r="F13" s="239"/>
      <c r="G13" s="239"/>
      <c r="H13" s="239"/>
      <c r="I13" s="240"/>
      <c r="J13" s="43"/>
      <c r="K13" s="43"/>
      <c r="L13" s="121"/>
      <c r="M13" s="47"/>
      <c r="N13" s="47"/>
      <c r="O13" s="47"/>
      <c r="P13" s="50"/>
      <c r="Q13" s="47"/>
      <c r="R13" s="47"/>
    </row>
    <row r="14" spans="1:18" ht="16.5" customHeight="1" x14ac:dyDescent="0.25">
      <c r="A14" s="279" t="s">
        <v>158</v>
      </c>
      <c r="B14" s="278" t="s">
        <v>3</v>
      </c>
      <c r="C14" s="277">
        <v>27000</v>
      </c>
      <c r="D14" s="43"/>
      <c r="E14" s="241" t="s">
        <v>127</v>
      </c>
      <c r="F14" s="242"/>
      <c r="G14" s="242"/>
      <c r="H14" s="242"/>
      <c r="I14" s="243"/>
      <c r="J14" s="43"/>
      <c r="K14" s="43"/>
      <c r="L14" s="121"/>
      <c r="M14" s="47"/>
      <c r="N14" s="47"/>
      <c r="O14" s="47"/>
      <c r="P14" s="50"/>
      <c r="Q14" s="47"/>
      <c r="R14" s="47"/>
    </row>
    <row r="15" spans="1:18" x14ac:dyDescent="0.25">
      <c r="A15" s="279"/>
      <c r="B15" s="278"/>
      <c r="C15" s="277"/>
      <c r="D15" s="43"/>
      <c r="E15" s="205" t="str">
        <f>"WRITE DAC-"&amp;C9&amp;"-MARGIN-LOW (0x"&amp;Pseudocode!D12&amp;"), (0x"&amp;Pseudocode!C10&amp;")"</f>
        <v>WRITE DAC-1-MARGIN-LOW (0x08), (0x05 00)</v>
      </c>
      <c r="F15" s="206"/>
      <c r="G15" s="206"/>
      <c r="H15" s="206"/>
      <c r="I15" s="209"/>
      <c r="J15" s="43"/>
      <c r="K15" s="43"/>
      <c r="L15" s="121"/>
      <c r="M15" s="47"/>
      <c r="N15" s="47"/>
      <c r="O15" s="47"/>
      <c r="P15" s="50"/>
      <c r="Q15" s="47"/>
      <c r="R15" s="47"/>
    </row>
    <row r="16" spans="1:18" ht="18" customHeight="1" x14ac:dyDescent="0.3">
      <c r="A16" s="134" t="s">
        <v>159</v>
      </c>
      <c r="B16" s="135" t="s">
        <v>3</v>
      </c>
      <c r="C16" s="136">
        <v>6000</v>
      </c>
      <c r="D16" s="43"/>
      <c r="E16" s="229" t="s">
        <v>125</v>
      </c>
      <c r="F16" s="230"/>
      <c r="G16" s="230"/>
      <c r="H16" s="230"/>
      <c r="I16" s="231"/>
      <c r="J16" s="43"/>
      <c r="K16" s="43"/>
      <c r="L16" s="121"/>
      <c r="M16" s="47"/>
      <c r="N16" s="47"/>
      <c r="O16" s="47"/>
      <c r="P16" s="50"/>
      <c r="Q16" s="47"/>
      <c r="R16" s="47"/>
    </row>
    <row r="17" spans="1:18" ht="24" customHeight="1" x14ac:dyDescent="0.25">
      <c r="A17" s="137" t="s">
        <v>113</v>
      </c>
      <c r="B17" s="138" t="s">
        <v>114</v>
      </c>
      <c r="C17" s="87">
        <v>5</v>
      </c>
      <c r="D17" s="43"/>
      <c r="E17" s="205" t="str">
        <f>"WRITE DAC-"&amp;C9&amp;"-MARGIN-HIGH (0x"&amp;Pseudocode!C8&amp;"), (0x"&amp;Pseudocode!C12&amp;")"</f>
        <v>WRITE DAC-1-MARGIN-HIGH (0x07), (0xA4 00)</v>
      </c>
      <c r="F17" s="206"/>
      <c r="G17" s="206"/>
      <c r="H17" s="206"/>
      <c r="I17" s="209"/>
      <c r="J17" s="43"/>
      <c r="K17" s="43"/>
      <c r="L17" s="121"/>
      <c r="M17" s="47"/>
      <c r="N17" s="47"/>
      <c r="O17" s="50"/>
      <c r="P17" s="50"/>
      <c r="Q17" s="47"/>
      <c r="R17" s="47"/>
    </row>
    <row r="18" spans="1:18" ht="21.75" customHeight="1" x14ac:dyDescent="0.25">
      <c r="A18" s="134" t="s">
        <v>107</v>
      </c>
      <c r="B18" s="87" t="s">
        <v>108</v>
      </c>
      <c r="C18" s="139" t="s">
        <v>147</v>
      </c>
      <c r="D18" s="43"/>
      <c r="E18" s="203" t="str">
        <f>"//Configure GPI for Margin-High, Margin-Low function"</f>
        <v>//Configure GPI for Margin-High, Margin-Low function</v>
      </c>
      <c r="F18" s="204"/>
      <c r="G18" s="204"/>
      <c r="H18" s="204"/>
      <c r="I18" s="140"/>
      <c r="J18" s="84"/>
      <c r="K18" s="43"/>
      <c r="L18" s="121"/>
      <c r="M18" s="47"/>
      <c r="N18" s="47"/>
      <c r="O18" s="47"/>
      <c r="P18" s="47"/>
      <c r="Q18" s="47"/>
      <c r="R18" s="47"/>
    </row>
    <row r="19" spans="1:18" ht="20.25" customHeight="1" x14ac:dyDescent="0.25">
      <c r="A19" s="134" t="s">
        <v>109</v>
      </c>
      <c r="B19" s="87" t="s">
        <v>110</v>
      </c>
      <c r="C19" s="87">
        <v>1.5</v>
      </c>
      <c r="D19" s="43"/>
      <c r="E19" s="205" t="str">
        <f>"WRITE GPIO-CONFIG (0x24), (0x"&amp;Pseudocode!C19&amp;")"</f>
        <v>WRITE GPIO-CONFIG (0x24), (0x0094)</v>
      </c>
      <c r="F19" s="206"/>
      <c r="G19" s="206"/>
      <c r="H19" s="206"/>
      <c r="I19" s="141"/>
      <c r="J19" s="43"/>
      <c r="K19" s="43"/>
      <c r="L19" s="121"/>
      <c r="M19" s="47"/>
      <c r="N19" s="47"/>
      <c r="O19" s="47"/>
      <c r="P19" s="47"/>
      <c r="Q19" s="47"/>
      <c r="R19" s="47"/>
    </row>
    <row r="20" spans="1:18" ht="22.5" customHeight="1" thickBot="1" x14ac:dyDescent="0.3">
      <c r="A20" s="134" t="s">
        <v>111</v>
      </c>
      <c r="B20" s="87" t="s">
        <v>115</v>
      </c>
      <c r="C20" s="142">
        <v>4</v>
      </c>
      <c r="D20" s="73"/>
      <c r="E20" s="223"/>
      <c r="F20" s="224"/>
      <c r="G20" s="224"/>
      <c r="H20" s="224"/>
      <c r="I20" s="141"/>
      <c r="J20" s="43"/>
      <c r="K20" s="43"/>
      <c r="L20" s="121"/>
      <c r="M20" s="47"/>
      <c r="N20" s="47"/>
      <c r="O20" s="47"/>
      <c r="P20" s="47"/>
      <c r="Q20" s="47"/>
      <c r="R20" s="47"/>
    </row>
    <row r="21" spans="1:18" ht="30" customHeight="1" x14ac:dyDescent="0.25">
      <c r="A21" s="272" t="s">
        <v>102</v>
      </c>
      <c r="B21" s="269" t="s">
        <v>133</v>
      </c>
      <c r="C21" s="273">
        <f>IF(C18="External",C20,IF(C18="Internal",1.21*C19,C17))</f>
        <v>1.8149999999999999</v>
      </c>
      <c r="D21" s="43"/>
      <c r="E21" s="214" t="s">
        <v>48</v>
      </c>
      <c r="F21" s="215"/>
      <c r="G21" s="215"/>
      <c r="H21" s="216"/>
      <c r="I21" s="143"/>
      <c r="J21" s="43"/>
      <c r="K21" s="43"/>
      <c r="L21" s="121"/>
      <c r="M21" s="47"/>
      <c r="N21" s="47"/>
      <c r="O21" s="47"/>
      <c r="P21" s="47"/>
      <c r="Q21" s="47"/>
      <c r="R21" s="47"/>
    </row>
    <row r="22" spans="1:18" ht="18.75" customHeight="1" x14ac:dyDescent="0.25">
      <c r="A22" s="272"/>
      <c r="B22" s="269"/>
      <c r="C22" s="273"/>
      <c r="D22" s="43"/>
      <c r="E22" s="219" t="s">
        <v>53</v>
      </c>
      <c r="F22" s="220"/>
      <c r="G22" s="221" t="s">
        <v>69</v>
      </c>
      <c r="H22" s="222"/>
      <c r="I22" s="144"/>
      <c r="J22" s="43"/>
      <c r="K22" s="43"/>
      <c r="L22" s="121"/>
    </row>
    <row r="23" spans="1:18" ht="17.25" customHeight="1" x14ac:dyDescent="0.25">
      <c r="A23" s="272"/>
      <c r="B23" s="269"/>
      <c r="C23" s="273"/>
      <c r="D23" s="43"/>
      <c r="E23" s="145" t="s">
        <v>49</v>
      </c>
      <c r="F23" s="146" t="s">
        <v>50</v>
      </c>
      <c r="G23" s="210" t="s">
        <v>137</v>
      </c>
      <c r="H23" s="211"/>
      <c r="I23" s="147"/>
      <c r="J23" s="43"/>
      <c r="K23" s="43"/>
      <c r="L23" s="121"/>
    </row>
    <row r="24" spans="1:18" ht="25.5" customHeight="1" thickBot="1" x14ac:dyDescent="0.3">
      <c r="A24" s="272"/>
      <c r="B24" s="269"/>
      <c r="C24" s="273"/>
      <c r="D24" s="43"/>
      <c r="E24" s="148">
        <v>1</v>
      </c>
      <c r="F24" s="149">
        <v>5127.92</v>
      </c>
      <c r="G24" s="212">
        <f>_xlfn.SWITCH(C8,"8-Bit",RawCalculations!D36,"10-Bit",RawCalculations!D37,"12-Bit",RawCalculations!D38)</f>
        <v>0.82046719999999995</v>
      </c>
      <c r="H24" s="213"/>
      <c r="I24" s="150"/>
      <c r="J24" s="43"/>
      <c r="K24" s="43"/>
      <c r="L24" s="121"/>
    </row>
    <row r="25" spans="1:18" ht="24.75" customHeight="1" x14ac:dyDescent="0.25">
      <c r="A25" s="272"/>
      <c r="B25" s="269"/>
      <c r="C25" s="273"/>
      <c r="D25" s="43"/>
      <c r="E25" s="225"/>
      <c r="F25" s="226"/>
      <c r="G25" s="226"/>
      <c r="H25" s="226"/>
      <c r="I25" s="151"/>
      <c r="J25" s="43"/>
      <c r="K25" s="43"/>
      <c r="L25" s="121"/>
    </row>
    <row r="26" spans="1:18" ht="18.75" customHeight="1" x14ac:dyDescent="0.25">
      <c r="A26" s="152" t="s">
        <v>35</v>
      </c>
      <c r="B26" s="135" t="s">
        <v>36</v>
      </c>
      <c r="C26" s="153">
        <v>1E-3</v>
      </c>
      <c r="D26" s="43"/>
      <c r="E26" s="203" t="str">
        <f>"//Configure Slew rate for channel "&amp;C9</f>
        <v>//Configure Slew rate for channel 1</v>
      </c>
      <c r="F26" s="204"/>
      <c r="G26" s="204"/>
      <c r="H26" s="204"/>
      <c r="I26" s="154"/>
      <c r="J26" s="43"/>
      <c r="K26" s="43"/>
      <c r="L26" s="121"/>
    </row>
    <row r="27" spans="1:18" ht="19.5" customHeight="1" thickBot="1" x14ac:dyDescent="0.3">
      <c r="A27" s="155"/>
      <c r="B27" s="43"/>
      <c r="C27" s="43"/>
      <c r="D27" s="156"/>
      <c r="E27" s="207" t="str">
        <f>"WRITE DAC-"&amp;C9&amp;"-FUNC (0x"&amp;Pseudocode!C15&amp;"),(0x"&amp;Pseudocode!C17&amp;Pseudocode!D17&amp;")"</f>
        <v>WRITE DAC-1-FUNC (0x0C),(0x015)</v>
      </c>
      <c r="F27" s="208"/>
      <c r="G27" s="208"/>
      <c r="H27" s="208"/>
      <c r="I27" s="154"/>
      <c r="J27" s="43"/>
      <c r="K27" s="43"/>
      <c r="L27" s="121"/>
    </row>
    <row r="28" spans="1:18" ht="30" customHeight="1" x14ac:dyDescent="0.25">
      <c r="A28" s="214" t="s">
        <v>99</v>
      </c>
      <c r="B28" s="215"/>
      <c r="C28" s="216"/>
      <c r="D28" s="156"/>
      <c r="E28" s="227" t="s">
        <v>136</v>
      </c>
      <c r="F28" s="228"/>
      <c r="G28" s="228"/>
      <c r="H28" s="228"/>
      <c r="I28" s="157"/>
      <c r="J28" s="43"/>
      <c r="K28" s="43"/>
      <c r="L28" s="121"/>
    </row>
    <row r="29" spans="1:18" ht="19.5" customHeight="1" thickBot="1" x14ac:dyDescent="0.3">
      <c r="A29" s="158" t="s">
        <v>166</v>
      </c>
      <c r="B29" s="159" t="s">
        <v>78</v>
      </c>
      <c r="C29" s="160">
        <f>((C14*C12)/(C16))+C12</f>
        <v>3.3000000000000003</v>
      </c>
      <c r="D29" s="43"/>
      <c r="E29" s="217" t="s">
        <v>154</v>
      </c>
      <c r="F29" s="218"/>
      <c r="G29" s="218"/>
      <c r="H29" s="218"/>
      <c r="I29" s="161"/>
      <c r="J29" s="43"/>
      <c r="K29" s="43"/>
      <c r="L29" s="121"/>
    </row>
    <row r="30" spans="1:18" ht="14.45" customHeight="1" x14ac:dyDescent="0.25">
      <c r="A30" s="162" t="s">
        <v>167</v>
      </c>
      <c r="B30" s="138" t="s">
        <v>75</v>
      </c>
      <c r="C30" s="163">
        <f>(C12-(G38))/(G47)</f>
        <v>46190.518465909037</v>
      </c>
      <c r="D30" s="43"/>
      <c r="E30" s="164"/>
      <c r="F30" s="164"/>
      <c r="G30" s="164"/>
      <c r="H30" s="164"/>
      <c r="I30" s="164"/>
      <c r="J30" s="43"/>
      <c r="K30" s="43"/>
      <c r="L30" s="121"/>
    </row>
    <row r="31" spans="1:18" ht="9" customHeight="1" x14ac:dyDescent="0.25">
      <c r="A31" s="280" t="s">
        <v>168</v>
      </c>
      <c r="B31" s="282" t="s">
        <v>76</v>
      </c>
      <c r="C31" s="284">
        <f>IF(C26=1%, VLOOKUP(C30,ResistorValues!A1:A672,1,TRUE), VLOOKUP('Voltage Output Mode'!C30,ResistorValues!E1:E1344,1,TRUE))</f>
        <v>45900</v>
      </c>
      <c r="D31" s="43"/>
      <c r="E31" s="164"/>
      <c r="F31" s="164"/>
      <c r="G31" s="164"/>
      <c r="H31" s="164"/>
      <c r="I31" s="164"/>
      <c r="J31" s="43"/>
      <c r="K31" s="43"/>
      <c r="L31" s="121"/>
    </row>
    <row r="32" spans="1:18" ht="6.75" customHeight="1" thickBot="1" x14ac:dyDescent="0.3">
      <c r="A32" s="281"/>
      <c r="B32" s="283"/>
      <c r="C32" s="285"/>
      <c r="D32" s="43"/>
      <c r="E32" s="43"/>
      <c r="F32" s="43"/>
      <c r="G32" s="43"/>
      <c r="H32" s="43"/>
      <c r="I32" s="43"/>
      <c r="J32" s="43"/>
      <c r="K32" s="43"/>
      <c r="L32" s="121"/>
    </row>
    <row r="33" spans="1:12" ht="6.75" customHeight="1" thickBot="1" x14ac:dyDescent="0.3">
      <c r="A33" s="165"/>
      <c r="B33" s="166"/>
      <c r="C33" s="167"/>
      <c r="D33" s="43"/>
      <c r="E33" s="46"/>
      <c r="F33" s="46"/>
      <c r="G33" s="46"/>
      <c r="H33" s="43"/>
      <c r="I33" s="43"/>
      <c r="J33" s="43"/>
      <c r="K33" s="43"/>
      <c r="L33" s="121"/>
    </row>
    <row r="34" spans="1:12" ht="21" customHeight="1" x14ac:dyDescent="0.25">
      <c r="A34" s="214" t="s">
        <v>34</v>
      </c>
      <c r="B34" s="215"/>
      <c r="C34" s="216"/>
      <c r="D34" s="43"/>
      <c r="E34" s="247" t="s">
        <v>81</v>
      </c>
      <c r="F34" s="248"/>
      <c r="G34" s="249"/>
      <c r="H34" s="43"/>
      <c r="I34" s="43"/>
      <c r="J34" s="43"/>
      <c r="K34" s="43"/>
      <c r="L34" s="121"/>
    </row>
    <row r="35" spans="1:12" ht="18" customHeight="1" x14ac:dyDescent="0.25">
      <c r="A35" s="256" t="s">
        <v>28</v>
      </c>
      <c r="B35" s="257"/>
      <c r="C35" s="168" t="str">
        <f>C8</f>
        <v>8-Bit</v>
      </c>
      <c r="D35" s="43"/>
      <c r="E35" s="270" t="s">
        <v>10</v>
      </c>
      <c r="F35" s="269" t="s">
        <v>100</v>
      </c>
      <c r="G35" s="271" t="s">
        <v>7</v>
      </c>
      <c r="H35" s="43"/>
      <c r="I35" s="43"/>
      <c r="J35" s="43"/>
      <c r="K35" s="43"/>
      <c r="L35" s="121"/>
    </row>
    <row r="36" spans="1:12" ht="18.75" customHeight="1" x14ac:dyDescent="0.35">
      <c r="A36" s="86" t="s">
        <v>161</v>
      </c>
      <c r="B36" s="87" t="s">
        <v>74</v>
      </c>
      <c r="C36" s="169">
        <f>IF(C8="8-Bit",RawCalculations!C4, IF(C8="10-Bit",RawCalculations!D4, IF(C8="12-Bit",RawCalculations!E4,"Not Valid")))</f>
        <v>3.3</v>
      </c>
      <c r="D36" s="43"/>
      <c r="E36" s="270"/>
      <c r="F36" s="269"/>
      <c r="G36" s="271"/>
      <c r="H36" s="43"/>
      <c r="I36" s="43"/>
      <c r="J36" s="43"/>
      <c r="K36" s="43"/>
      <c r="L36" s="121"/>
    </row>
    <row r="37" spans="1:12" ht="17.25" customHeight="1" x14ac:dyDescent="0.35">
      <c r="A37" s="90" t="s">
        <v>162</v>
      </c>
      <c r="B37" s="87" t="str">
        <f>"Via register address "&amp;F16</f>
        <v xml:space="preserve">Via register address </v>
      </c>
      <c r="C37" s="169">
        <f>IF(C8="8-Bit",RawCalculations!C5, IF(C8="10-Bit",RawCalculations!D5, IF(C8="12-Bit",RawCalculations!E5,"Not Valid")))</f>
        <v>3.6320886948529409</v>
      </c>
      <c r="D37" s="43"/>
      <c r="E37" s="170" t="s">
        <v>24</v>
      </c>
      <c r="F37" s="135" t="s">
        <v>8</v>
      </c>
      <c r="G37" s="171">
        <f xml:space="preserve"> C21 / 256</f>
        <v>7.0898437499999998E-3</v>
      </c>
      <c r="H37" s="43"/>
      <c r="I37" s="43"/>
      <c r="J37" s="43"/>
      <c r="K37" s="43"/>
      <c r="L37" s="121"/>
    </row>
    <row r="38" spans="1:12" ht="18" customHeight="1" x14ac:dyDescent="0.35">
      <c r="A38" s="90" t="s">
        <v>163</v>
      </c>
      <c r="B38" s="87" t="str">
        <f>"Via register address "&amp;F17</f>
        <v xml:space="preserve">Via register address </v>
      </c>
      <c r="C38" s="169">
        <f>IF(C8="8-Bit",RawCalculations!C6, IF(C8="10-Bit",RawCalculations!D6, IF(C8="12-Bit",RawCalculations!E6,"Not Valid")))</f>
        <v>2.9689797794117645</v>
      </c>
      <c r="D38" s="43"/>
      <c r="E38" s="263" t="s">
        <v>25</v>
      </c>
      <c r="F38" s="269" t="s">
        <v>9</v>
      </c>
      <c r="G38" s="246">
        <f xml:space="preserve"> G37 * RIGHT(G35,1)</f>
        <v>3.5449218749999997E-2</v>
      </c>
      <c r="H38" s="85"/>
      <c r="I38" s="85"/>
      <c r="J38" s="85"/>
      <c r="K38" s="43"/>
      <c r="L38" s="121"/>
    </row>
    <row r="39" spans="1:12" ht="16.5" customHeight="1" x14ac:dyDescent="0.35">
      <c r="A39" s="90" t="s">
        <v>164</v>
      </c>
      <c r="B39" s="87" t="s">
        <v>101</v>
      </c>
      <c r="C39" s="169">
        <f>IF(C8="8-Bit",RawCalculations!C7, IF(C8="10-Bit",RawCalculations!D7, IF(C8="12-Bit",RawCalculations!E7,"Not Valid")))</f>
        <v>3.3026194852941173</v>
      </c>
      <c r="D39" s="43"/>
      <c r="E39" s="263"/>
      <c r="F39" s="269"/>
      <c r="G39" s="246"/>
      <c r="H39" s="172"/>
      <c r="I39" s="173"/>
      <c r="J39" s="173"/>
      <c r="K39" s="43"/>
      <c r="L39" s="121"/>
    </row>
    <row r="40" spans="1:12" ht="9.75" customHeight="1" x14ac:dyDescent="0.25">
      <c r="A40" s="256" t="s">
        <v>31</v>
      </c>
      <c r="B40" s="257"/>
      <c r="C40" s="260" t="str">
        <f>C8</f>
        <v>8-Bit</v>
      </c>
      <c r="D40" s="43"/>
      <c r="E40" s="102" t="s">
        <v>15</v>
      </c>
      <c r="F40" s="159" t="s">
        <v>22</v>
      </c>
      <c r="G40" s="174" t="str">
        <f>"0x" &amp; DEC2HEX(_xlfn.BITRSHIFT(HEX2DEC(RIGHT(G35,2)),-2),3)</f>
        <v>0x014</v>
      </c>
      <c r="H40" s="172"/>
      <c r="I40" s="173"/>
      <c r="J40" s="173"/>
      <c r="K40" s="175"/>
      <c r="L40" s="121"/>
    </row>
    <row r="41" spans="1:12" x14ac:dyDescent="0.25">
      <c r="A41" s="258"/>
      <c r="B41" s="259"/>
      <c r="C41" s="261"/>
      <c r="D41" s="43"/>
      <c r="E41" s="102" t="s">
        <v>26</v>
      </c>
      <c r="F41" s="138" t="s">
        <v>23</v>
      </c>
      <c r="G41" s="171">
        <f>C21/(2^10)</f>
        <v>1.7724609374999999E-3</v>
      </c>
      <c r="H41" s="92"/>
      <c r="I41" s="92"/>
      <c r="J41" s="92"/>
      <c r="K41" s="43"/>
      <c r="L41" s="121"/>
    </row>
    <row r="42" spans="1:12" ht="17.25" customHeight="1" x14ac:dyDescent="0.25">
      <c r="A42" s="176" t="s">
        <v>32</v>
      </c>
      <c r="B42" s="99" t="s">
        <v>79</v>
      </c>
      <c r="C42" s="177">
        <f>IF(C8="8-Bit",RawCalculations!C9, IF(C8="10-Bit",RawCalculations!D9, IF(C8="12-Bit",RawCalculations!E9,"Not Valid")))</f>
        <v>4.1704963235294117E-3</v>
      </c>
      <c r="D42" s="43"/>
      <c r="E42" s="262" t="s">
        <v>40</v>
      </c>
      <c r="F42" s="264" t="s">
        <v>42</v>
      </c>
      <c r="G42" s="246" t="str">
        <f>"0x" &amp; DEC2HEX(_xlfn.BITRSHIFT(HEX2DEC(RIGHT(G35,2)),-4),3)</f>
        <v>0x050</v>
      </c>
      <c r="H42" s="92"/>
      <c r="I42" s="92"/>
      <c r="J42" s="92"/>
      <c r="K42" s="43"/>
      <c r="L42" s="121"/>
    </row>
    <row r="43" spans="1:12" ht="6.75" customHeight="1" x14ac:dyDescent="0.25">
      <c r="A43" s="250" t="s">
        <v>33</v>
      </c>
      <c r="B43" s="252" t="s">
        <v>80</v>
      </c>
      <c r="C43" s="254">
        <f>IF(C8="8-Bit",RawCalculations!C10, IF(C8="10-Bit",RawCalculations!D10, IF(C8="12-Bit",RawCalculations!E10,"Not Valid")))</f>
        <v>1.2637867647058822E-3</v>
      </c>
      <c r="D43" s="43"/>
      <c r="E43" s="262"/>
      <c r="F43" s="264"/>
      <c r="G43" s="246"/>
      <c r="H43" s="43"/>
      <c r="I43" s="43"/>
      <c r="J43" s="43"/>
      <c r="K43" s="43"/>
      <c r="L43" s="121"/>
    </row>
    <row r="44" spans="1:12" ht="10.5" customHeight="1" thickBot="1" x14ac:dyDescent="0.3">
      <c r="A44" s="251"/>
      <c r="B44" s="253"/>
      <c r="C44" s="255"/>
      <c r="D44" s="43"/>
      <c r="E44" s="102" t="s">
        <v>41</v>
      </c>
      <c r="F44" s="178" t="s">
        <v>43</v>
      </c>
      <c r="G44" s="171">
        <f>C21/(2^12)</f>
        <v>4.4311523437499999E-4</v>
      </c>
      <c r="H44" s="84"/>
      <c r="I44" s="84"/>
      <c r="J44" s="84"/>
      <c r="K44" s="43"/>
      <c r="L44" s="121"/>
    </row>
    <row r="45" spans="1:12" ht="21.95" customHeight="1" x14ac:dyDescent="0.25">
      <c r="A45" s="155"/>
      <c r="B45" s="43"/>
      <c r="C45" s="43"/>
      <c r="D45" s="43"/>
      <c r="E45" s="102" t="s">
        <v>44</v>
      </c>
      <c r="F45" s="87"/>
      <c r="G45" s="179">
        <f>C12/C16</f>
        <v>9.9999999999999991E-5</v>
      </c>
      <c r="H45" s="84"/>
      <c r="I45" s="84"/>
      <c r="J45" s="84"/>
      <c r="K45" s="43"/>
      <c r="L45" s="121"/>
    </row>
    <row r="46" spans="1:12" x14ac:dyDescent="0.25">
      <c r="A46" s="46"/>
      <c r="B46" s="46"/>
      <c r="C46" s="46"/>
      <c r="D46" s="43"/>
      <c r="E46" s="102" t="s">
        <v>4</v>
      </c>
      <c r="F46" s="87"/>
      <c r="G46" s="180">
        <f>C29*C10</f>
        <v>0.33000000000000007</v>
      </c>
      <c r="H46" s="133"/>
      <c r="I46" s="133"/>
      <c r="J46" s="133"/>
      <c r="K46" s="43"/>
      <c r="L46" s="121"/>
    </row>
    <row r="47" spans="1:12" ht="21" customHeight="1" thickBot="1" x14ac:dyDescent="0.3">
      <c r="A47" s="46"/>
      <c r="B47" s="46"/>
      <c r="C47" s="46"/>
      <c r="D47" s="43"/>
      <c r="E47" s="181" t="s">
        <v>5</v>
      </c>
      <c r="F47" s="182"/>
      <c r="G47" s="183">
        <f>(((C29+(C29*C10))-C12)/C14)-G45</f>
        <v>1.2222222222222238E-5</v>
      </c>
      <c r="H47" s="172"/>
      <c r="I47" s="173"/>
      <c r="J47" s="173"/>
      <c r="K47" s="43"/>
      <c r="L47" s="121"/>
    </row>
    <row r="48" spans="1:12" ht="15" customHeight="1" x14ac:dyDescent="0.25">
      <c r="A48" s="46"/>
      <c r="B48" s="46"/>
      <c r="C48" s="46"/>
      <c r="D48" s="43"/>
      <c r="E48" s="173"/>
      <c r="F48" s="173"/>
      <c r="G48" s="172"/>
      <c r="H48" s="172"/>
      <c r="I48" s="173"/>
      <c r="J48" s="173"/>
      <c r="K48" s="43"/>
      <c r="L48" s="121"/>
    </row>
    <row r="49" spans="1:12" ht="16.5" customHeight="1" x14ac:dyDescent="0.25">
      <c r="A49" s="46"/>
      <c r="B49" s="46"/>
      <c r="C49" s="46"/>
      <c r="D49" s="43"/>
      <c r="E49" s="92"/>
      <c r="F49" s="92"/>
      <c r="G49" s="92"/>
      <c r="H49" s="92"/>
      <c r="I49" s="92"/>
      <c r="J49" s="92"/>
      <c r="K49" s="43"/>
      <c r="L49" s="121"/>
    </row>
    <row r="50" spans="1:12" ht="16.5" customHeight="1" x14ac:dyDescent="0.25">
      <c r="A50" s="47"/>
      <c r="B50" s="47"/>
      <c r="C50" s="47"/>
      <c r="D50" s="50"/>
      <c r="E50" s="114"/>
      <c r="F50" s="114"/>
      <c r="G50" s="114"/>
      <c r="H50" s="114"/>
      <c r="I50" s="114"/>
      <c r="J50" s="114"/>
      <c r="K50" s="184"/>
      <c r="L50" s="47"/>
    </row>
    <row r="51" spans="1:12" ht="12.75" customHeight="1" x14ac:dyDescent="0.25">
      <c r="A51" s="47"/>
      <c r="B51" s="47"/>
      <c r="C51" s="47"/>
      <c r="D51" s="50"/>
      <c r="E51" s="185"/>
      <c r="F51" s="185"/>
      <c r="G51" s="186"/>
      <c r="H51" s="186"/>
      <c r="I51" s="185"/>
      <c r="J51" s="185"/>
      <c r="K51" s="184"/>
      <c r="L51" s="47"/>
    </row>
    <row r="52" spans="1:12" ht="30" customHeight="1" x14ac:dyDescent="0.25">
      <c r="A52" s="47"/>
      <c r="B52" s="47"/>
      <c r="C52" s="47"/>
      <c r="D52" s="50"/>
      <c r="E52" s="185"/>
      <c r="F52" s="185"/>
      <c r="G52" s="186"/>
      <c r="H52" s="186"/>
      <c r="I52" s="185"/>
      <c r="J52" s="185"/>
      <c r="K52" s="184"/>
      <c r="L52" s="47"/>
    </row>
    <row r="53" spans="1:12" ht="20.25" customHeight="1" x14ac:dyDescent="0.25">
      <c r="A53" s="47"/>
      <c r="B53" s="47"/>
      <c r="C53" s="47"/>
      <c r="D53" s="50"/>
      <c r="E53" s="187"/>
      <c r="F53" s="187"/>
      <c r="G53" s="188"/>
      <c r="H53" s="188"/>
      <c r="I53" s="188"/>
      <c r="J53" s="188"/>
      <c r="K53" s="184"/>
      <c r="L53" s="47"/>
    </row>
    <row r="54" spans="1:12" ht="15.75" customHeight="1" x14ac:dyDescent="0.25">
      <c r="A54" s="47"/>
      <c r="B54" s="47"/>
      <c r="C54" s="47"/>
      <c r="D54" s="50"/>
      <c r="E54" s="187"/>
      <c r="F54" s="187"/>
      <c r="G54" s="188"/>
      <c r="H54" s="188"/>
      <c r="I54" s="188"/>
      <c r="J54" s="188"/>
      <c r="K54" s="184"/>
      <c r="L54" s="47"/>
    </row>
    <row r="55" spans="1:12" ht="15" customHeight="1" x14ac:dyDescent="0.25">
      <c r="A55" s="47"/>
      <c r="B55" s="47"/>
      <c r="C55" s="47"/>
      <c r="D55" s="50"/>
      <c r="E55" s="187"/>
      <c r="F55" s="187"/>
      <c r="G55" s="188"/>
      <c r="H55" s="188"/>
      <c r="I55" s="188"/>
      <c r="J55" s="188"/>
      <c r="K55" s="184"/>
      <c r="L55" s="47"/>
    </row>
    <row r="56" spans="1:12" x14ac:dyDescent="0.25">
      <c r="A56" s="47"/>
      <c r="B56" s="47"/>
      <c r="C56" s="47"/>
      <c r="D56" s="50"/>
      <c r="E56" s="187"/>
      <c r="F56" s="187"/>
      <c r="G56" s="188"/>
      <c r="H56" s="188"/>
      <c r="I56" s="188"/>
      <c r="J56" s="188"/>
      <c r="K56" s="184"/>
      <c r="L56" s="47"/>
    </row>
    <row r="57" spans="1:12" x14ac:dyDescent="0.25">
      <c r="A57" s="47"/>
      <c r="B57" s="47"/>
      <c r="C57" s="47"/>
      <c r="D57" s="50"/>
      <c r="E57" s="187"/>
      <c r="F57" s="187"/>
      <c r="G57" s="188"/>
      <c r="H57" s="188"/>
      <c r="I57" s="188"/>
      <c r="J57" s="188"/>
      <c r="K57" s="184"/>
      <c r="L57" s="47"/>
    </row>
    <row r="58" spans="1:12" x14ac:dyDescent="0.25">
      <c r="A58" s="47"/>
      <c r="B58" s="47"/>
      <c r="C58" s="47"/>
      <c r="D58" s="50"/>
      <c r="E58" s="187"/>
      <c r="F58" s="187"/>
      <c r="G58" s="188"/>
      <c r="H58" s="188"/>
      <c r="I58" s="188"/>
      <c r="J58" s="188"/>
      <c r="K58" s="184"/>
      <c r="L58" s="47"/>
    </row>
    <row r="59" spans="1:12" x14ac:dyDescent="0.25">
      <c r="A59" s="47"/>
      <c r="B59" s="47"/>
      <c r="C59" s="47"/>
      <c r="D59" s="50"/>
      <c r="E59" s="187"/>
      <c r="F59" s="187"/>
      <c r="G59" s="188"/>
      <c r="H59" s="188"/>
      <c r="I59" s="188"/>
      <c r="J59" s="188"/>
      <c r="K59" s="184"/>
      <c r="L59" s="47"/>
    </row>
    <row r="60" spans="1:12" ht="51" customHeight="1" x14ac:dyDescent="0.25">
      <c r="A60" s="189"/>
      <c r="B60" s="50"/>
      <c r="C60" s="50"/>
      <c r="D60" s="50"/>
      <c r="E60" s="115"/>
      <c r="F60" s="115"/>
      <c r="G60" s="114"/>
      <c r="H60" s="114"/>
      <c r="I60" s="114"/>
      <c r="J60" s="114"/>
      <c r="K60" s="184"/>
      <c r="L60" s="47"/>
    </row>
    <row r="61" spans="1:12" ht="52.5" customHeight="1" x14ac:dyDescent="0.25">
      <c r="A61" s="189"/>
      <c r="B61" s="50"/>
      <c r="C61" s="50"/>
      <c r="D61" s="50"/>
      <c r="E61" s="115"/>
      <c r="F61" s="115"/>
      <c r="G61" s="114"/>
      <c r="H61" s="114"/>
      <c r="I61" s="114"/>
      <c r="J61" s="114"/>
      <c r="K61" s="184"/>
      <c r="L61" s="47"/>
    </row>
    <row r="62" spans="1:12" x14ac:dyDescent="0.25">
      <c r="A62" s="189"/>
      <c r="B62" s="50"/>
      <c r="C62" s="50"/>
      <c r="D62" s="50"/>
      <c r="E62" s="50"/>
      <c r="F62" s="50"/>
      <c r="G62" s="50"/>
      <c r="H62" s="50"/>
      <c r="I62" s="50"/>
      <c r="J62" s="50"/>
      <c r="K62" s="184"/>
      <c r="L62" s="47"/>
    </row>
    <row r="63" spans="1:12" x14ac:dyDescent="0.25">
      <c r="A63" s="189"/>
      <c r="B63" s="50"/>
      <c r="C63" s="50"/>
      <c r="D63" s="50"/>
      <c r="E63" s="50"/>
      <c r="F63" s="50"/>
      <c r="G63" s="50"/>
      <c r="H63" s="50"/>
      <c r="I63" s="50"/>
      <c r="J63" s="50"/>
      <c r="K63" s="184"/>
      <c r="L63" s="47"/>
    </row>
    <row r="64" spans="1:12" ht="27.6" customHeight="1" thickBot="1" x14ac:dyDescent="0.3">
      <c r="A64" s="190"/>
      <c r="B64" s="191"/>
      <c r="C64" s="191"/>
      <c r="D64" s="191"/>
      <c r="E64" s="191"/>
      <c r="F64" s="191"/>
      <c r="G64" s="191"/>
      <c r="H64" s="191"/>
      <c r="I64" s="191"/>
      <c r="J64" s="191"/>
      <c r="K64" s="192"/>
      <c r="L64" s="47"/>
    </row>
    <row r="65" spans="1:2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72" spans="1:21" ht="23.1" customHeight="1" x14ac:dyDescent="0.25">
      <c r="S72" s="193"/>
      <c r="T72" s="193"/>
    </row>
    <row r="73" spans="1:21" x14ac:dyDescent="0.25">
      <c r="S73" s="112"/>
      <c r="T73" s="112"/>
    </row>
    <row r="74" spans="1:21" x14ac:dyDescent="0.25">
      <c r="F74" s="194"/>
      <c r="S74" s="112"/>
      <c r="T74" s="112"/>
    </row>
    <row r="76" spans="1:21" x14ac:dyDescent="0.25">
      <c r="Q76" s="195"/>
      <c r="R76" s="112"/>
      <c r="S76" s="112"/>
      <c r="T76" s="112"/>
      <c r="U76" s="112"/>
    </row>
    <row r="77" spans="1:21" x14ac:dyDescent="0.25">
      <c r="P77" s="112"/>
      <c r="Q77" s="112"/>
      <c r="R77" s="112"/>
      <c r="S77" s="112"/>
      <c r="T77" s="112"/>
      <c r="U77" s="112"/>
    </row>
    <row r="78" spans="1:21" x14ac:dyDescent="0.25">
      <c r="P78" s="112"/>
      <c r="Q78" s="112"/>
      <c r="R78" s="112"/>
      <c r="S78" s="112"/>
      <c r="T78" s="112"/>
      <c r="U78" s="112"/>
    </row>
    <row r="79" spans="1:21" x14ac:dyDescent="0.25">
      <c r="R79" s="117"/>
      <c r="S79" s="112"/>
      <c r="T79" s="112"/>
      <c r="U79" s="112"/>
    </row>
    <row r="80" spans="1:21" x14ac:dyDescent="0.25">
      <c r="R80" s="112"/>
      <c r="S80" s="112"/>
      <c r="T80" s="112"/>
      <c r="U80" s="112"/>
    </row>
    <row r="81" spans="7:21" x14ac:dyDescent="0.25">
      <c r="R81" s="112"/>
      <c r="S81" s="112"/>
      <c r="T81" s="112"/>
      <c r="U81" s="112"/>
    </row>
    <row r="89" spans="7:21" x14ac:dyDescent="0.25">
      <c r="G89" s="196"/>
      <c r="H89" s="197"/>
      <c r="I89" s="197"/>
      <c r="J89" s="197"/>
    </row>
    <row r="90" spans="7:21" x14ac:dyDescent="0.25">
      <c r="G90" s="112"/>
      <c r="I90" s="112"/>
    </row>
    <row r="99" spans="3:5" x14ac:dyDescent="0.25">
      <c r="D99" s="198"/>
      <c r="E99" s="198"/>
    </row>
    <row r="101" spans="3:5" x14ac:dyDescent="0.25">
      <c r="C101" s="198"/>
    </row>
  </sheetData>
  <mergeCells count="59">
    <mergeCell ref="C14:C15"/>
    <mergeCell ref="B14:B15"/>
    <mergeCell ref="A14:A15"/>
    <mergeCell ref="A31:A32"/>
    <mergeCell ref="B31:B32"/>
    <mergeCell ref="C31:C32"/>
    <mergeCell ref="A10:A11"/>
    <mergeCell ref="C10:C11"/>
    <mergeCell ref="B12:B13"/>
    <mergeCell ref="A12:A13"/>
    <mergeCell ref="C12:C13"/>
    <mergeCell ref="M4:O4"/>
    <mergeCell ref="A7:C7"/>
    <mergeCell ref="G38:G39"/>
    <mergeCell ref="F38:F39"/>
    <mergeCell ref="A35:B35"/>
    <mergeCell ref="F35:F36"/>
    <mergeCell ref="E35:E36"/>
    <mergeCell ref="G35:G36"/>
    <mergeCell ref="A34:C34"/>
    <mergeCell ref="A28:C28"/>
    <mergeCell ref="A21:A25"/>
    <mergeCell ref="B21:B25"/>
    <mergeCell ref="C21:C25"/>
    <mergeCell ref="B10:B11"/>
    <mergeCell ref="E11:I11"/>
    <mergeCell ref="E12:I12"/>
    <mergeCell ref="G42:G43"/>
    <mergeCell ref="E34:G34"/>
    <mergeCell ref="A43:A44"/>
    <mergeCell ref="B43:B44"/>
    <mergeCell ref="C43:C44"/>
    <mergeCell ref="A40:B41"/>
    <mergeCell ref="C40:C41"/>
    <mergeCell ref="E42:E43"/>
    <mergeCell ref="E38:E39"/>
    <mergeCell ref="F42:F43"/>
    <mergeCell ref="E16:I16"/>
    <mergeCell ref="E7:I7"/>
    <mergeCell ref="E9:I9"/>
    <mergeCell ref="E10:I10"/>
    <mergeCell ref="E13:I13"/>
    <mergeCell ref="E14:I14"/>
    <mergeCell ref="E15:I15"/>
    <mergeCell ref="E8:H8"/>
    <mergeCell ref="E29:H29"/>
    <mergeCell ref="E22:F22"/>
    <mergeCell ref="G22:H22"/>
    <mergeCell ref="E20:H20"/>
    <mergeCell ref="E25:H25"/>
    <mergeCell ref="E28:H28"/>
    <mergeCell ref="E18:H18"/>
    <mergeCell ref="E19:H19"/>
    <mergeCell ref="E26:H26"/>
    <mergeCell ref="E27:H27"/>
    <mergeCell ref="E17:I17"/>
    <mergeCell ref="G23:H23"/>
    <mergeCell ref="G24:H24"/>
    <mergeCell ref="E21:H21"/>
  </mergeCells>
  <conditionalFormatting sqref="C21:C25">
    <cfRule type="cellIs" dxfId="6" priority="27" operator="lessThan">
      <formula>$C$12*2</formula>
    </cfRule>
  </conditionalFormatting>
  <conditionalFormatting sqref="C19">
    <cfRule type="expression" dxfId="5" priority="28">
      <formula>C18="External"</formula>
    </cfRule>
  </conditionalFormatting>
  <conditionalFormatting sqref="C20">
    <cfRule type="expression" dxfId="4" priority="1">
      <formula>$C$20&gt;$C$17</formula>
    </cfRule>
    <cfRule type="expression" dxfId="3" priority="2">
      <formula>$C$20&lt;1.7</formula>
    </cfRule>
    <cfRule type="expression" dxfId="2" priority="3">
      <formula>$C$18="Internal"</formula>
    </cfRule>
  </conditionalFormatting>
  <dataValidations count="8">
    <dataValidation type="list" allowBlank="1" showInputMessage="1" showErrorMessage="1" sqref="C26" xr:uid="{C9930516-9CB2-492B-AE01-4D434DFE2116}">
      <formula1>"1%, 0.1%"</formula1>
    </dataValidation>
    <dataValidation type="list" allowBlank="1" showInputMessage="1" showErrorMessage="1" sqref="E24" xr:uid="{28BAB2E7-6C3C-453D-B676-D0F5899D0D89}">
      <formula1>"1,2,3,4,6,8,16,32"</formula1>
    </dataValidation>
    <dataValidation type="list" allowBlank="1" showInputMessage="1" showErrorMessage="1" sqref="F24" xr:uid="{5985EE8C-CDA9-4604-A829-D5B63AD657DB}">
      <formula1>"4,8,12,18,27.04,40.48,60.72,91.12,136.72,239.2,418.64,732.56,1282,2563.92,5127.92"</formula1>
    </dataValidation>
    <dataValidation type="list" allowBlank="1" showInputMessage="1" showErrorMessage="1" sqref="C8" xr:uid="{37BA8089-8BE5-48D2-AE62-EE79CBAA381F}">
      <formula1>"8-Bit,10-Bit,12-Bit"</formula1>
    </dataValidation>
    <dataValidation type="list" allowBlank="1" showInputMessage="1" showErrorMessage="1" sqref="D13 C9" xr:uid="{ECC57613-9162-4495-A24F-B9D324F2C557}">
      <formula1>"0,1,2,3"</formula1>
    </dataValidation>
    <dataValidation type="list" allowBlank="1" showInputMessage="1" showErrorMessage="1" sqref="C18" xr:uid="{2770266A-7CA9-46D7-91F1-B7392BFEB9DD}">
      <formula1>"Internal,External, VDD"</formula1>
    </dataValidation>
    <dataValidation type="custom" allowBlank="1" showInputMessage="1" showErrorMessage="1" errorTitle="Wrong Reference Type" error="Internal reference is selected" sqref="C20" xr:uid="{9FB3B2E9-DEF7-4CF1-8B83-F3D7C90EB829}">
      <formula1>C18="External"</formula1>
    </dataValidation>
    <dataValidation type="list" allowBlank="1" showInputMessage="1" showErrorMessage="1" sqref="I8" xr:uid="{16374ADE-8321-4876-9931-031E3E7A52FA}">
      <formula1>"I2C/SPI,PMBUS"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rong Reference Type" error="External reference mode selected" xr:uid="{9C6322C4-DF44-463F-9161-51091552452B}">
          <x14:formula1>
            <xm:f>IF($C$18="Internal",RawCalculations!$K$15:$K$18,RawCalculations!$K$15)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364A-E4BB-485D-80BC-D803807B5FA2}">
  <dimension ref="A1:U60"/>
  <sheetViews>
    <sheetView zoomScale="85" zoomScaleNormal="85" workbookViewId="0">
      <selection activeCell="B19" sqref="B19:C20"/>
    </sheetView>
  </sheetViews>
  <sheetFormatPr defaultColWidth="8.7109375" defaultRowHeight="18" x14ac:dyDescent="0.25"/>
  <cols>
    <col min="1" max="1" width="34.140625" style="48" customWidth="1"/>
    <col min="2" max="2" width="36.42578125" style="48" customWidth="1"/>
    <col min="3" max="3" width="20" style="48" customWidth="1"/>
    <col min="4" max="4" width="4.140625" style="48" customWidth="1"/>
    <col min="5" max="5" width="22.85546875" style="48" customWidth="1"/>
    <col min="6" max="6" width="26.42578125" style="48" customWidth="1"/>
    <col min="7" max="7" width="28.42578125" style="48" customWidth="1"/>
    <col min="8" max="8" width="29.140625" style="48" customWidth="1"/>
    <col min="9" max="9" width="22.85546875" style="48" customWidth="1"/>
    <col min="10" max="10" width="23.85546875" style="48" customWidth="1"/>
    <col min="11" max="11" width="17.85546875" style="48" customWidth="1"/>
    <col min="12" max="12" width="12.42578125" style="48" customWidth="1"/>
    <col min="13" max="13" width="14.85546875" style="48" customWidth="1"/>
    <col min="14" max="14" width="15.42578125" style="48" customWidth="1"/>
    <col min="15" max="15" width="20.140625" style="48" customWidth="1"/>
    <col min="16" max="16" width="22.5703125" style="48" customWidth="1"/>
    <col min="17" max="17" width="19.140625" style="48" customWidth="1"/>
    <col min="18" max="18" width="4.28515625" style="48" hidden="1" customWidth="1"/>
    <col min="19" max="19" width="15.85546875" style="48" customWidth="1"/>
    <col min="20" max="20" width="11.85546875" style="48" customWidth="1"/>
    <col min="21" max="21" width="15" style="48" customWidth="1"/>
    <col min="22" max="22" width="14.85546875" style="48" customWidth="1"/>
    <col min="23" max="23" width="15.140625" style="48" customWidth="1"/>
    <col min="24" max="24" width="12.85546875" style="48" customWidth="1"/>
    <col min="25" max="16384" width="8.7109375" style="48"/>
  </cols>
  <sheetData>
    <row r="1" spans="1:16" x14ac:dyDescent="0.25">
      <c r="A1" s="43"/>
      <c r="B1" s="43"/>
      <c r="C1" s="43"/>
      <c r="D1" s="44"/>
      <c r="E1" s="43"/>
      <c r="F1" s="43"/>
      <c r="G1" s="43"/>
      <c r="H1" s="45" t="s">
        <v>86</v>
      </c>
      <c r="I1" s="46"/>
      <c r="J1" s="46"/>
      <c r="K1" s="47"/>
      <c r="L1" s="47"/>
      <c r="M1" s="47"/>
      <c r="N1" s="47"/>
      <c r="O1" s="47"/>
    </row>
    <row r="2" spans="1:16" x14ac:dyDescent="0.25">
      <c r="A2" s="43"/>
      <c r="B2" s="43"/>
      <c r="C2" s="43"/>
      <c r="D2" s="43"/>
      <c r="E2" s="43"/>
      <c r="F2" s="43"/>
      <c r="G2" s="43"/>
      <c r="H2" s="49" t="s">
        <v>87</v>
      </c>
      <c r="I2" s="46"/>
      <c r="J2" s="46"/>
      <c r="K2" s="50"/>
      <c r="L2" s="50"/>
      <c r="M2" s="50"/>
      <c r="N2" s="47"/>
      <c r="O2" s="47"/>
    </row>
    <row r="3" spans="1:16" x14ac:dyDescent="0.25">
      <c r="A3" s="43"/>
      <c r="B3" s="43"/>
      <c r="C3" s="43"/>
      <c r="D3" s="43"/>
      <c r="E3" s="43"/>
      <c r="F3" s="43"/>
      <c r="G3" s="43"/>
      <c r="H3" s="51" t="s">
        <v>89</v>
      </c>
      <c r="I3" s="46"/>
      <c r="J3" s="46"/>
      <c r="K3" s="50"/>
      <c r="L3" s="50"/>
      <c r="M3" s="50"/>
      <c r="N3" s="47"/>
      <c r="O3" s="47"/>
    </row>
    <row r="4" spans="1:16" ht="14.45" customHeight="1" x14ac:dyDescent="0.25">
      <c r="A4" s="43"/>
      <c r="B4" s="43"/>
      <c r="C4" s="43"/>
      <c r="D4" s="43"/>
      <c r="E4" s="43"/>
      <c r="F4" s="43"/>
      <c r="G4" s="43"/>
      <c r="H4" s="52" t="s">
        <v>88</v>
      </c>
      <c r="I4" s="46"/>
      <c r="J4" s="46"/>
      <c r="K4" s="50"/>
      <c r="L4" s="50"/>
      <c r="M4" s="50"/>
      <c r="N4" s="47"/>
      <c r="O4" s="47"/>
    </row>
    <row r="5" spans="1:16" x14ac:dyDescent="0.25">
      <c r="A5" s="43"/>
      <c r="B5" s="43"/>
      <c r="C5" s="43"/>
      <c r="D5" s="43"/>
      <c r="E5" s="43"/>
      <c r="F5" s="43"/>
      <c r="G5" s="43"/>
      <c r="H5" s="53" t="s">
        <v>90</v>
      </c>
      <c r="I5" s="46"/>
      <c r="J5" s="46"/>
      <c r="K5" s="50"/>
      <c r="L5" s="54"/>
      <c r="M5" s="54"/>
      <c r="N5" s="55"/>
      <c r="O5" s="55"/>
      <c r="P5" s="56"/>
    </row>
    <row r="6" spans="1:16" ht="12.6" customHeight="1" x14ac:dyDescent="0.25">
      <c r="A6" s="43"/>
      <c r="B6" s="43"/>
      <c r="C6" s="43"/>
      <c r="D6" s="43"/>
      <c r="E6" s="43"/>
      <c r="F6" s="43"/>
      <c r="G6" s="43"/>
      <c r="H6" s="57" t="s">
        <v>116</v>
      </c>
      <c r="I6" s="46"/>
      <c r="J6" s="46"/>
      <c r="K6" s="50"/>
      <c r="L6" s="50"/>
      <c r="M6" s="50"/>
      <c r="N6" s="47"/>
      <c r="O6" s="47"/>
    </row>
    <row r="7" spans="1:16" ht="18.75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3"/>
      <c r="K7" s="50"/>
      <c r="L7" s="50"/>
      <c r="M7" s="50"/>
      <c r="N7" s="47"/>
      <c r="O7" s="47"/>
    </row>
    <row r="8" spans="1:16" ht="14.45" customHeight="1" x14ac:dyDescent="0.25">
      <c r="A8" s="331" t="s">
        <v>98</v>
      </c>
      <c r="B8" s="332"/>
      <c r="C8" s="333"/>
      <c r="D8" s="43"/>
      <c r="E8" s="58"/>
      <c r="F8" s="59"/>
      <c r="G8" s="59"/>
      <c r="H8" s="59"/>
      <c r="I8" s="60"/>
      <c r="J8" s="43"/>
      <c r="K8" s="50"/>
      <c r="L8" s="50"/>
      <c r="M8" s="50"/>
      <c r="N8" s="47"/>
      <c r="O8" s="47"/>
    </row>
    <row r="9" spans="1:16" ht="26.1" customHeight="1" x14ac:dyDescent="0.3">
      <c r="A9" s="327" t="s">
        <v>66</v>
      </c>
      <c r="B9" s="329" t="s">
        <v>132</v>
      </c>
      <c r="C9" s="289">
        <v>1</v>
      </c>
      <c r="D9" s="43"/>
      <c r="E9" s="301" t="s">
        <v>145</v>
      </c>
      <c r="F9" s="302"/>
      <c r="G9" s="302"/>
      <c r="H9" s="302"/>
      <c r="I9" s="303"/>
      <c r="J9" s="43"/>
      <c r="K9" s="50"/>
      <c r="L9" s="50"/>
      <c r="M9" s="50"/>
      <c r="N9" s="47"/>
      <c r="O9" s="47"/>
    </row>
    <row r="10" spans="1:16" ht="25.5" customHeight="1" x14ac:dyDescent="0.3">
      <c r="A10" s="328"/>
      <c r="B10" s="330"/>
      <c r="C10" s="290"/>
      <c r="D10" s="43"/>
      <c r="E10" s="229" t="str">
        <f>"//Power-up the device (channel: "&amp; C9 &amp;") with internal reference"</f>
        <v>//Power-up the device (channel: 1) with internal reference</v>
      </c>
      <c r="F10" s="230"/>
      <c r="G10" s="230"/>
      <c r="H10" s="230"/>
      <c r="I10" s="231"/>
      <c r="J10" s="61"/>
      <c r="K10" s="50"/>
      <c r="L10" s="50"/>
      <c r="M10" s="50"/>
      <c r="N10" s="47"/>
      <c r="O10" s="47"/>
    </row>
    <row r="11" spans="1:16" ht="36.950000000000003" customHeight="1" x14ac:dyDescent="0.25">
      <c r="A11" s="62" t="s">
        <v>155</v>
      </c>
      <c r="B11" s="287" t="s">
        <v>84</v>
      </c>
      <c r="C11" s="63">
        <v>125</v>
      </c>
      <c r="D11" s="43"/>
      <c r="E11" s="205" t="str">
        <f>"WRITE COMMON_CONFIG("&amp; Pseudocode!B1 &amp;") (0x" &amp;Pseudocode!G2 &amp; ")"</f>
        <v>WRITE COMMON_CONFIG(0x1F) (0x1FFE)</v>
      </c>
      <c r="F11" s="206"/>
      <c r="G11" s="206"/>
      <c r="H11" s="206"/>
      <c r="I11" s="209"/>
      <c r="J11" s="43"/>
      <c r="K11" s="50"/>
      <c r="L11" s="50"/>
      <c r="M11" s="50"/>
      <c r="N11" s="47"/>
      <c r="O11" s="47"/>
    </row>
    <row r="12" spans="1:16" ht="15" customHeight="1" x14ac:dyDescent="0.25">
      <c r="A12" s="64"/>
      <c r="B12" s="315"/>
      <c r="C12" s="316" t="str">
        <f>IF((C23*C15)  &gt; (C19*(10^-6)*C11), "Insufficient Current Range", "Sufficient Current Range")</f>
        <v>Sufficient Current Range</v>
      </c>
      <c r="D12" s="43"/>
      <c r="E12" s="241" t="s">
        <v>127</v>
      </c>
      <c r="F12" s="242"/>
      <c r="G12" s="242"/>
      <c r="H12" s="242"/>
      <c r="I12" s="243"/>
      <c r="J12" s="43"/>
      <c r="K12" s="50"/>
      <c r="L12" s="50"/>
      <c r="M12" s="50"/>
      <c r="N12" s="47"/>
      <c r="O12" s="47"/>
    </row>
    <row r="13" spans="1:16" ht="14.45" customHeight="1" x14ac:dyDescent="0.25">
      <c r="A13" s="64"/>
      <c r="B13" s="315"/>
      <c r="C13" s="316"/>
      <c r="D13" s="43"/>
      <c r="E13" s="205" t="str">
        <f>"WRITE DAC-"&amp;C9&amp;"-MARGIN-LOW (0x"&amp;Pseudocode!G12&amp;"), (0x"&amp;RawCalculations!F25&amp;"00)"</f>
        <v>WRITE DAC-1-MARGIN-LOW (0x08), (0x0x7300)</v>
      </c>
      <c r="F13" s="206"/>
      <c r="G13" s="206"/>
      <c r="H13" s="206"/>
      <c r="I13" s="209"/>
      <c r="J13" s="43"/>
      <c r="K13" s="50"/>
      <c r="L13" s="50"/>
      <c r="M13" s="50"/>
      <c r="N13" s="47"/>
      <c r="O13" s="47"/>
    </row>
    <row r="14" spans="1:16" ht="18.75" x14ac:dyDescent="0.3">
      <c r="A14" s="65"/>
      <c r="B14" s="288"/>
      <c r="C14" s="317"/>
      <c r="D14" s="66"/>
      <c r="E14" s="229" t="s">
        <v>125</v>
      </c>
      <c r="F14" s="230"/>
      <c r="G14" s="230"/>
      <c r="H14" s="230"/>
      <c r="I14" s="231"/>
      <c r="J14" s="43"/>
      <c r="K14" s="54"/>
      <c r="L14" s="50"/>
      <c r="M14" s="50"/>
      <c r="N14" s="47"/>
      <c r="O14" s="47"/>
    </row>
    <row r="15" spans="1:16" ht="18.600000000000001" customHeight="1" x14ac:dyDescent="0.25">
      <c r="A15" s="62" t="s">
        <v>156</v>
      </c>
      <c r="B15" s="287" t="s">
        <v>6</v>
      </c>
      <c r="C15" s="293">
        <v>0.1</v>
      </c>
      <c r="D15" s="67"/>
      <c r="E15" s="205" t="str">
        <f>"WRITE DAC-"&amp;C9&amp;"-MARGIN-HIGH (0x"&amp;Pseudocode!G7&amp;"), (0x"&amp;RawCalculations!F26&amp;"00)"</f>
        <v>WRITE DAC-1-MARGIN-HIGH (0x07), (0x0x8C00)</v>
      </c>
      <c r="F15" s="206"/>
      <c r="G15" s="206"/>
      <c r="H15" s="206"/>
      <c r="I15" s="209"/>
      <c r="J15" s="43"/>
      <c r="K15" s="50"/>
      <c r="L15" s="50"/>
      <c r="M15" s="50"/>
      <c r="N15" s="47"/>
      <c r="O15" s="47"/>
    </row>
    <row r="16" spans="1:16" ht="14.45" customHeight="1" x14ac:dyDescent="0.25">
      <c r="A16" s="65"/>
      <c r="B16" s="288"/>
      <c r="C16" s="294"/>
      <c r="D16" s="67"/>
      <c r="E16" s="203" t="str">
        <f>"//Configure GPI for Margin-High, Margin-Low function"</f>
        <v>//Configure GPI for Margin-High, Margin-Low function</v>
      </c>
      <c r="F16" s="204"/>
      <c r="G16" s="204"/>
      <c r="H16" s="204"/>
      <c r="I16" s="274"/>
      <c r="J16" s="43"/>
      <c r="K16" s="50"/>
      <c r="L16" s="50"/>
      <c r="M16" s="50"/>
      <c r="N16" s="47"/>
      <c r="O16" s="47"/>
    </row>
    <row r="17" spans="1:15" ht="18.600000000000001" customHeight="1" x14ac:dyDescent="0.25">
      <c r="A17" s="318" t="s">
        <v>157</v>
      </c>
      <c r="B17" s="287" t="s">
        <v>0</v>
      </c>
      <c r="C17" s="289">
        <v>0.6</v>
      </c>
      <c r="D17" s="43"/>
      <c r="E17" s="205" t="str">
        <f>"WRITE GPIO-CONFIG (0x24), (0x"&amp;Pseudocode!F19&amp;")"</f>
        <v>WRITE GPIO-CONFIG (0x24), (0x0094)</v>
      </c>
      <c r="F17" s="206"/>
      <c r="G17" s="206"/>
      <c r="H17" s="206"/>
      <c r="I17" s="209"/>
      <c r="J17" s="43"/>
      <c r="K17" s="50"/>
      <c r="L17" s="50"/>
      <c r="M17" s="50"/>
      <c r="N17" s="47"/>
      <c r="O17" s="47"/>
    </row>
    <row r="18" spans="1:15" ht="28.5" customHeight="1" x14ac:dyDescent="0.25">
      <c r="A18" s="319"/>
      <c r="B18" s="288"/>
      <c r="C18" s="290"/>
      <c r="D18" s="43"/>
      <c r="E18" s="68"/>
      <c r="F18" s="69"/>
      <c r="G18" s="69"/>
      <c r="H18" s="69"/>
      <c r="I18" s="70"/>
      <c r="J18" s="43"/>
      <c r="K18" s="50"/>
      <c r="L18" s="50"/>
      <c r="M18" s="50"/>
      <c r="N18" s="47"/>
      <c r="O18" s="47"/>
    </row>
    <row r="19" spans="1:15" ht="22.5" customHeight="1" x14ac:dyDescent="0.25">
      <c r="A19" s="71" t="s">
        <v>158</v>
      </c>
      <c r="B19" s="199" t="s">
        <v>3</v>
      </c>
      <c r="C19" s="200">
        <v>27000</v>
      </c>
      <c r="D19" s="43"/>
      <c r="E19" s="304" t="s">
        <v>48</v>
      </c>
      <c r="F19" s="305"/>
      <c r="G19" s="305"/>
      <c r="H19" s="305"/>
      <c r="I19" s="306"/>
      <c r="J19" s="43"/>
      <c r="K19" s="50"/>
      <c r="L19" s="50"/>
      <c r="M19" s="50"/>
      <c r="N19" s="47"/>
      <c r="O19" s="47"/>
    </row>
    <row r="20" spans="1:15" ht="29.1" customHeight="1" thickBot="1" x14ac:dyDescent="0.3">
      <c r="A20" s="72" t="s">
        <v>159</v>
      </c>
      <c r="B20" s="201" t="s">
        <v>3</v>
      </c>
      <c r="C20" s="202">
        <v>6000</v>
      </c>
      <c r="D20" s="43"/>
      <c r="E20" s="291" t="s">
        <v>53</v>
      </c>
      <c r="F20" s="292"/>
      <c r="G20" s="307" t="s">
        <v>69</v>
      </c>
      <c r="H20" s="307"/>
      <c r="I20" s="308"/>
      <c r="J20" s="43"/>
      <c r="K20" s="50"/>
      <c r="L20" s="50"/>
      <c r="M20" s="50"/>
      <c r="N20" s="47"/>
      <c r="O20" s="47"/>
    </row>
    <row r="21" spans="1:15" ht="17.45" customHeight="1" thickBot="1" x14ac:dyDescent="0.3">
      <c r="A21" s="46"/>
      <c r="B21" s="46"/>
      <c r="C21" s="46"/>
      <c r="D21" s="73"/>
      <c r="E21" s="74" t="s">
        <v>49</v>
      </c>
      <c r="F21" s="75" t="s">
        <v>50</v>
      </c>
      <c r="G21" s="297" t="s">
        <v>55</v>
      </c>
      <c r="H21" s="297"/>
      <c r="I21" s="298"/>
      <c r="J21" s="43"/>
      <c r="K21" s="50"/>
      <c r="L21" s="50"/>
      <c r="M21" s="50"/>
      <c r="N21" s="47"/>
      <c r="O21" s="47"/>
    </row>
    <row r="22" spans="1:15" ht="22.5" customHeight="1" x14ac:dyDescent="0.25">
      <c r="A22" s="324" t="s">
        <v>77</v>
      </c>
      <c r="B22" s="325"/>
      <c r="C22" s="326"/>
      <c r="D22" s="73"/>
      <c r="E22" s="76">
        <v>1</v>
      </c>
      <c r="F22" s="77">
        <v>136.72</v>
      </c>
      <c r="G22" s="295">
        <f>RawCalculations!D39</f>
        <v>3.5547199999999995E-3</v>
      </c>
      <c r="H22" s="295"/>
      <c r="I22" s="296"/>
      <c r="J22" s="43"/>
      <c r="K22" s="50"/>
      <c r="L22" s="50"/>
      <c r="M22" s="50"/>
      <c r="N22" s="47"/>
      <c r="O22" s="47"/>
    </row>
    <row r="23" spans="1:15" ht="67.5" customHeight="1" thickBot="1" x14ac:dyDescent="0.3">
      <c r="A23" s="78" t="s">
        <v>160</v>
      </c>
      <c r="B23" s="79" t="s">
        <v>68</v>
      </c>
      <c r="C23" s="80">
        <f>((C19*C17)/C20) + C17</f>
        <v>3.3000000000000003</v>
      </c>
      <c r="D23" s="43"/>
      <c r="E23" s="81"/>
      <c r="F23" s="82"/>
      <c r="G23" s="82"/>
      <c r="H23" s="82"/>
      <c r="I23" s="83"/>
      <c r="J23" s="43"/>
      <c r="K23" s="50"/>
      <c r="L23" s="50"/>
      <c r="M23" s="50"/>
      <c r="N23" s="47"/>
      <c r="O23" s="47"/>
    </row>
    <row r="24" spans="1:15" ht="18.600000000000001" customHeight="1" thickBot="1" x14ac:dyDescent="0.3">
      <c r="A24" s="46"/>
      <c r="B24" s="46"/>
      <c r="C24" s="84"/>
      <c r="D24" s="43"/>
      <c r="E24" s="203" t="str">
        <f>"//Configure Slew rate for channel "&amp;C7</f>
        <v xml:space="preserve">//Configure Slew rate for channel </v>
      </c>
      <c r="F24" s="204"/>
      <c r="G24" s="204"/>
      <c r="H24" s="204"/>
      <c r="I24" s="274"/>
      <c r="J24" s="43"/>
      <c r="K24" s="50"/>
      <c r="L24" s="50"/>
      <c r="M24" s="50"/>
      <c r="N24" s="47"/>
      <c r="O24" s="47"/>
    </row>
    <row r="25" spans="1:15" x14ac:dyDescent="0.25">
      <c r="A25" s="266" t="s">
        <v>34</v>
      </c>
      <c r="B25" s="267"/>
      <c r="C25" s="268"/>
      <c r="D25" s="43"/>
      <c r="E25" s="207" t="str">
        <f>"WRITE DAC-"&amp;C9&amp;"-FUNC (0x"&amp;Pseudocode!F15&amp;"),(0x"&amp;Pseudocode!F17&amp;Pseudocode!G17&amp;")"</f>
        <v>WRITE DAC-1-FUNC (0x0C),(0x09)</v>
      </c>
      <c r="F25" s="208"/>
      <c r="G25" s="208"/>
      <c r="H25" s="208"/>
      <c r="I25" s="299"/>
      <c r="J25" s="43"/>
      <c r="K25" s="50"/>
      <c r="L25" s="50"/>
      <c r="M25" s="50"/>
      <c r="N25" s="47"/>
      <c r="O25" s="47"/>
    </row>
    <row r="26" spans="1:15" ht="18.600000000000001" customHeight="1" x14ac:dyDescent="0.25">
      <c r="A26" s="312" t="s">
        <v>64</v>
      </c>
      <c r="B26" s="313"/>
      <c r="C26" s="314"/>
      <c r="D26" s="43"/>
      <c r="E26" s="227" t="s">
        <v>136</v>
      </c>
      <c r="F26" s="228"/>
      <c r="G26" s="228"/>
      <c r="H26" s="228"/>
      <c r="I26" s="300"/>
      <c r="J26" s="85"/>
      <c r="K26" s="50"/>
      <c r="L26" s="50"/>
      <c r="M26" s="50"/>
      <c r="N26" s="47"/>
      <c r="O26" s="47"/>
    </row>
    <row r="27" spans="1:15" ht="21.75" thickBot="1" x14ac:dyDescent="0.4">
      <c r="A27" s="86" t="s">
        <v>161</v>
      </c>
      <c r="B27" s="87" t="s">
        <v>74</v>
      </c>
      <c r="C27" s="88">
        <f>((C19*C17)/C20) + C17</f>
        <v>3.3000000000000003</v>
      </c>
      <c r="D27" s="43"/>
      <c r="E27" s="217" t="s">
        <v>154</v>
      </c>
      <c r="F27" s="218"/>
      <c r="G27" s="218"/>
      <c r="H27" s="218"/>
      <c r="I27" s="286"/>
      <c r="J27" s="43"/>
      <c r="K27" s="50"/>
      <c r="L27" s="89"/>
      <c r="M27" s="89"/>
      <c r="N27" s="89"/>
      <c r="O27" s="47"/>
    </row>
    <row r="28" spans="1:15" ht="21" x14ac:dyDescent="0.35">
      <c r="A28" s="90" t="s">
        <v>162</v>
      </c>
      <c r="B28" s="87" t="str">
        <f>"Via register address "&amp;F7</f>
        <v xml:space="preserve">Via register address </v>
      </c>
      <c r="C28" s="88">
        <f>C23 - (C19*((HEX2DEC(MID(RawCalculations!F25,3,2)) *2*C11*(10^-6)/256)+ (-1*C11*(10^-6))))</f>
        <v>3.6427734375000007</v>
      </c>
      <c r="D28" s="43"/>
      <c r="E28" s="91"/>
      <c r="F28" s="92"/>
      <c r="G28" s="92"/>
      <c r="H28" s="92"/>
      <c r="I28" s="93"/>
      <c r="J28" s="43"/>
      <c r="K28" s="50"/>
      <c r="L28" s="50"/>
      <c r="M28" s="50"/>
      <c r="N28" s="47"/>
      <c r="O28" s="47"/>
    </row>
    <row r="29" spans="1:15" ht="17.45" customHeight="1" x14ac:dyDescent="0.35">
      <c r="A29" s="90" t="s">
        <v>163</v>
      </c>
      <c r="B29" s="87" t="str">
        <f>"Via register address "&amp;F8</f>
        <v xml:space="preserve">Via register address </v>
      </c>
      <c r="C29" s="88">
        <f>C23 - (C19*((HEX2DEC(MID(RawCalculations!F26,3,2)) *2*C11*(10^-6)/256)+ (-1*C11*(10^-6))))</f>
        <v>2.9835937500000007</v>
      </c>
      <c r="D29" s="84"/>
      <c r="E29" s="94"/>
      <c r="F29" s="94"/>
      <c r="G29" s="94"/>
      <c r="H29" s="94"/>
      <c r="I29" s="94"/>
      <c r="J29" s="43"/>
      <c r="K29" s="50"/>
      <c r="L29" s="50"/>
      <c r="M29" s="50"/>
      <c r="N29" s="47"/>
      <c r="O29" s="47"/>
    </row>
    <row r="30" spans="1:15" ht="21" x14ac:dyDescent="0.35">
      <c r="A30" s="90" t="s">
        <v>164</v>
      </c>
      <c r="B30" s="87" t="s">
        <v>101</v>
      </c>
      <c r="C30" s="88">
        <f>C23 - (C19*((HEX2DEC(80) *2*C11*(10^-6)/256)+ (-1*C11*(10^-6))))</f>
        <v>3.3000000000000003</v>
      </c>
      <c r="D30" s="84"/>
      <c r="E30" s="94"/>
      <c r="F30" s="94"/>
      <c r="G30" s="94"/>
      <c r="H30" s="94"/>
      <c r="I30" s="94"/>
      <c r="J30" s="43"/>
      <c r="K30" s="50"/>
      <c r="L30" s="50"/>
      <c r="M30" s="50"/>
      <c r="N30" s="47"/>
      <c r="O30" s="47"/>
    </row>
    <row r="31" spans="1:15" x14ac:dyDescent="0.25">
      <c r="A31" s="95" t="s">
        <v>31</v>
      </c>
      <c r="B31" s="96"/>
      <c r="C31" s="97"/>
      <c r="D31" s="43"/>
      <c r="E31" s="43"/>
      <c r="F31" s="43"/>
      <c r="G31" s="43"/>
      <c r="H31" s="43"/>
      <c r="I31" s="43"/>
      <c r="J31" s="43"/>
      <c r="K31" s="50"/>
      <c r="L31" s="50"/>
      <c r="M31" s="50"/>
      <c r="N31" s="47"/>
      <c r="O31" s="47"/>
    </row>
    <row r="32" spans="1:15" x14ac:dyDescent="0.25">
      <c r="A32" s="98" t="s">
        <v>32</v>
      </c>
      <c r="B32" s="99" t="s">
        <v>79</v>
      </c>
      <c r="C32" s="100">
        <f>C36*C19</f>
        <v>2.63671875E-2</v>
      </c>
      <c r="D32" s="43"/>
      <c r="E32" s="46"/>
      <c r="F32" s="43"/>
      <c r="G32" s="43"/>
      <c r="H32" s="101"/>
      <c r="I32" s="101"/>
      <c r="J32" s="101"/>
      <c r="K32" s="50"/>
      <c r="L32" s="50"/>
      <c r="M32" s="50"/>
      <c r="N32" s="47"/>
      <c r="O32" s="47"/>
    </row>
    <row r="33" spans="1:15" ht="23.45" customHeight="1" x14ac:dyDescent="0.25">
      <c r="A33" s="320" t="s">
        <v>65</v>
      </c>
      <c r="B33" s="252" t="s">
        <v>80</v>
      </c>
      <c r="C33" s="322">
        <f xml:space="preserve"> ABS(C32/C23)</f>
        <v>7.990056818181818E-3</v>
      </c>
      <c r="D33" s="43"/>
      <c r="E33" s="46"/>
      <c r="F33" s="43"/>
      <c r="G33" s="43"/>
      <c r="H33" s="43"/>
      <c r="I33" s="43"/>
      <c r="J33" s="43"/>
      <c r="K33" s="50"/>
      <c r="L33" s="50"/>
      <c r="M33" s="50"/>
      <c r="N33" s="47"/>
      <c r="O33" s="47"/>
    </row>
    <row r="34" spans="1:15" ht="18.75" thickBot="1" x14ac:dyDescent="0.3">
      <c r="A34" s="321"/>
      <c r="B34" s="253"/>
      <c r="C34" s="323"/>
      <c r="D34" s="43"/>
      <c r="E34" s="43"/>
      <c r="F34" s="43"/>
      <c r="G34" s="43"/>
      <c r="H34" s="43"/>
      <c r="I34" s="43"/>
      <c r="J34" s="43"/>
      <c r="K34" s="50"/>
      <c r="L34" s="50"/>
      <c r="M34" s="50"/>
      <c r="N34" s="47"/>
      <c r="O34" s="47"/>
    </row>
    <row r="35" spans="1:15" x14ac:dyDescent="0.25">
      <c r="A35" s="309" t="s">
        <v>81</v>
      </c>
      <c r="B35" s="310"/>
      <c r="C35" s="311"/>
      <c r="D35" s="43"/>
      <c r="E35" s="43"/>
      <c r="F35" s="43"/>
      <c r="G35" s="43"/>
      <c r="H35" s="43"/>
      <c r="I35" s="43"/>
      <c r="J35" s="43"/>
      <c r="K35" s="50"/>
      <c r="L35" s="50"/>
      <c r="M35" s="50"/>
      <c r="N35" s="47"/>
      <c r="O35" s="47"/>
    </row>
    <row r="36" spans="1:15" x14ac:dyDescent="0.25">
      <c r="A36" s="102" t="s">
        <v>61</v>
      </c>
      <c r="B36" s="103" t="s">
        <v>62</v>
      </c>
      <c r="C36" s="104">
        <f>(C11*2)/256 *10^-6</f>
        <v>9.7656250000000002E-7</v>
      </c>
      <c r="D36" s="43"/>
      <c r="E36" s="105"/>
      <c r="F36" s="105"/>
      <c r="G36" s="105"/>
      <c r="H36" s="105"/>
      <c r="I36" s="105"/>
      <c r="J36" s="105"/>
      <c r="K36" s="89"/>
      <c r="L36" s="50"/>
      <c r="M36" s="50"/>
      <c r="N36" s="47"/>
      <c r="O36" s="47"/>
    </row>
    <row r="37" spans="1:15" x14ac:dyDescent="0.25">
      <c r="A37" s="102" t="s">
        <v>63</v>
      </c>
      <c r="B37" s="106" t="s">
        <v>82</v>
      </c>
      <c r="C37" s="107">
        <f>(E22*C36)/(F22 * 10^-6)</f>
        <v>7.1427918373317724E-3</v>
      </c>
      <c r="D37" s="43"/>
      <c r="E37" s="92"/>
      <c r="F37" s="67"/>
      <c r="G37" s="67"/>
      <c r="H37" s="67"/>
      <c r="I37" s="92"/>
      <c r="J37" s="92"/>
      <c r="K37" s="50"/>
      <c r="L37" s="50"/>
      <c r="M37" s="50"/>
      <c r="N37" s="47"/>
      <c r="O37" s="47"/>
    </row>
    <row r="38" spans="1:15" ht="36.75" thickBot="1" x14ac:dyDescent="0.3">
      <c r="A38" s="108" t="s">
        <v>59</v>
      </c>
      <c r="B38" s="109" t="s">
        <v>83</v>
      </c>
      <c r="C38" s="110">
        <f xml:space="preserve"> (C23*C15)/G22</f>
        <v>92.834316064275143</v>
      </c>
      <c r="D38" s="43"/>
      <c r="E38" s="92"/>
      <c r="F38" s="92"/>
      <c r="G38" s="92"/>
      <c r="H38" s="92"/>
      <c r="I38" s="92"/>
      <c r="J38" s="92"/>
      <c r="K38" s="50"/>
      <c r="L38" s="50"/>
      <c r="M38" s="50"/>
      <c r="N38" s="47"/>
      <c r="O38" s="47"/>
    </row>
    <row r="39" spans="1:15" ht="20.100000000000001" customHeight="1" x14ac:dyDescent="0.25">
      <c r="A39" s="43"/>
      <c r="B39" s="43"/>
      <c r="C39" s="43"/>
      <c r="D39" s="43"/>
      <c r="E39" s="92"/>
      <c r="F39" s="92"/>
      <c r="G39" s="92"/>
      <c r="H39" s="92"/>
      <c r="I39" s="92"/>
      <c r="J39" s="92"/>
      <c r="K39" s="50"/>
      <c r="L39" s="47"/>
      <c r="M39" s="47"/>
      <c r="N39" s="47"/>
      <c r="O39" s="47"/>
    </row>
    <row r="40" spans="1:15" x14ac:dyDescent="0.25">
      <c r="A40" s="46"/>
      <c r="B40" s="46"/>
      <c r="C40" s="46"/>
      <c r="D40" s="43"/>
      <c r="E40" s="43"/>
      <c r="F40" s="43"/>
      <c r="G40" s="43"/>
      <c r="H40" s="43"/>
      <c r="I40" s="43"/>
      <c r="J40" s="43"/>
      <c r="K40" s="50"/>
      <c r="L40" s="47"/>
      <c r="M40" s="47"/>
      <c r="N40" s="47"/>
      <c r="O40" s="47"/>
    </row>
    <row r="41" spans="1:15" x14ac:dyDescent="0.25">
      <c r="A41" s="47"/>
      <c r="B41" s="47"/>
      <c r="C41" s="50"/>
      <c r="D41" s="50"/>
      <c r="E41" s="111"/>
      <c r="F41" s="111"/>
      <c r="G41" s="111"/>
      <c r="H41" s="111"/>
      <c r="I41" s="111"/>
      <c r="J41" s="111"/>
      <c r="K41" s="50"/>
      <c r="L41" s="112"/>
    </row>
    <row r="42" spans="1:15" x14ac:dyDescent="0.25">
      <c r="A42" s="47"/>
      <c r="B42" s="47"/>
      <c r="C42" s="50"/>
      <c r="D42" s="50"/>
      <c r="E42" s="113"/>
      <c r="F42" s="113"/>
      <c r="G42" s="113"/>
      <c r="H42" s="113"/>
      <c r="I42" s="113"/>
      <c r="J42" s="113"/>
      <c r="K42" s="50"/>
      <c r="L42" s="112"/>
    </row>
    <row r="43" spans="1:15" x14ac:dyDescent="0.25">
      <c r="A43" s="47"/>
      <c r="B43" s="47"/>
      <c r="C43" s="50"/>
      <c r="D43" s="50"/>
      <c r="E43" s="114"/>
      <c r="F43" s="114"/>
      <c r="G43" s="115"/>
      <c r="H43" s="115"/>
      <c r="I43" s="114"/>
      <c r="J43" s="114"/>
      <c r="K43" s="50"/>
      <c r="L43" s="112"/>
    </row>
    <row r="44" spans="1:15" x14ac:dyDescent="0.25">
      <c r="A44" s="47"/>
      <c r="B44" s="47"/>
      <c r="C44" s="50"/>
      <c r="D44" s="50"/>
      <c r="E44" s="114"/>
      <c r="F44" s="114"/>
      <c r="G44" s="114"/>
      <c r="H44" s="114"/>
      <c r="I44" s="114"/>
      <c r="J44" s="114"/>
      <c r="K44" s="50"/>
      <c r="L44" s="112"/>
    </row>
    <row r="45" spans="1:15" x14ac:dyDescent="0.25">
      <c r="A45" s="47"/>
      <c r="B45" s="47"/>
      <c r="C45" s="50"/>
      <c r="D45" s="50"/>
      <c r="E45" s="114"/>
      <c r="F45" s="114"/>
      <c r="G45" s="114"/>
      <c r="H45" s="114"/>
      <c r="I45" s="114"/>
      <c r="J45" s="114"/>
      <c r="K45" s="50"/>
      <c r="L45" s="112"/>
    </row>
    <row r="46" spans="1:15" ht="47.45" customHeight="1" x14ac:dyDescent="0.25">
      <c r="A46" s="47"/>
      <c r="B46" s="47"/>
      <c r="C46" s="50"/>
      <c r="D46" s="50"/>
      <c r="E46" s="114"/>
      <c r="F46" s="114"/>
      <c r="G46" s="115"/>
      <c r="H46" s="115"/>
      <c r="I46" s="114"/>
      <c r="J46" s="114"/>
      <c r="K46" s="50"/>
      <c r="L46" s="112"/>
    </row>
    <row r="47" spans="1:15" ht="42.95" customHeight="1" x14ac:dyDescent="0.25">
      <c r="A47" s="47"/>
      <c r="B47" s="47"/>
      <c r="C47" s="50"/>
      <c r="D47" s="50"/>
      <c r="E47" s="115"/>
      <c r="F47" s="115"/>
      <c r="G47" s="114"/>
      <c r="H47" s="114"/>
      <c r="I47" s="114"/>
      <c r="J47" s="114"/>
      <c r="K47" s="50"/>
      <c r="L47" s="112"/>
      <c r="M47" s="116"/>
    </row>
    <row r="48" spans="1:15" ht="45.6" customHeight="1" x14ac:dyDescent="0.25">
      <c r="A48" s="47"/>
      <c r="B48" s="47"/>
      <c r="C48" s="50"/>
      <c r="D48" s="50"/>
      <c r="E48" s="115"/>
      <c r="F48" s="115"/>
      <c r="G48" s="114"/>
      <c r="H48" s="114"/>
      <c r="I48" s="114"/>
      <c r="J48" s="114"/>
      <c r="K48" s="50"/>
      <c r="L48" s="112"/>
      <c r="M48" s="117"/>
    </row>
    <row r="49" spans="1:21" x14ac:dyDescent="0.25">
      <c r="A49" s="47"/>
      <c r="B49" s="47"/>
      <c r="C49" s="50"/>
      <c r="D49" s="50"/>
      <c r="E49" s="115"/>
      <c r="F49" s="115"/>
      <c r="G49" s="114"/>
      <c r="H49" s="114"/>
      <c r="I49" s="114"/>
      <c r="J49" s="114"/>
      <c r="K49" s="50"/>
      <c r="L49" s="112"/>
    </row>
    <row r="50" spans="1:21" ht="44.45" customHeight="1" x14ac:dyDescent="0.25">
      <c r="A50" s="47"/>
      <c r="B50" s="47"/>
      <c r="C50" s="50"/>
      <c r="D50" s="50"/>
      <c r="E50" s="115"/>
      <c r="F50" s="115"/>
      <c r="G50" s="114"/>
      <c r="H50" s="114"/>
      <c r="I50" s="114"/>
      <c r="J50" s="114"/>
      <c r="K50" s="50"/>
      <c r="L50" s="112"/>
    </row>
    <row r="51" spans="1:21" ht="30" customHeight="1" x14ac:dyDescent="0.25">
      <c r="A51" s="47"/>
      <c r="B51" s="47"/>
      <c r="C51" s="50"/>
      <c r="D51" s="50"/>
      <c r="E51" s="50"/>
      <c r="F51" s="50"/>
      <c r="G51" s="50"/>
      <c r="H51" s="50"/>
      <c r="I51" s="50"/>
      <c r="J51" s="50"/>
      <c r="K51" s="50"/>
      <c r="L51" s="112"/>
    </row>
    <row r="52" spans="1:2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112"/>
    </row>
    <row r="53" spans="1:21" x14ac:dyDescent="0.25">
      <c r="A53" s="50"/>
      <c r="B53" s="50"/>
      <c r="C53" s="50"/>
      <c r="D53" s="50"/>
      <c r="E53" s="115"/>
      <c r="F53" s="115"/>
      <c r="G53" s="114"/>
      <c r="H53" s="114"/>
      <c r="I53" s="114"/>
      <c r="J53" s="114"/>
      <c r="K53" s="50"/>
      <c r="L53" s="112"/>
    </row>
    <row r="54" spans="1:21" x14ac:dyDescent="0.25">
      <c r="A54" s="50"/>
      <c r="B54" s="50"/>
      <c r="C54" s="50"/>
      <c r="D54" s="50"/>
      <c r="E54" s="115"/>
      <c r="F54" s="115"/>
      <c r="G54" s="114"/>
      <c r="H54" s="114"/>
      <c r="I54" s="114"/>
      <c r="J54" s="114"/>
      <c r="K54" s="50"/>
      <c r="L54" s="112"/>
    </row>
    <row r="55" spans="1:2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12"/>
    </row>
    <row r="56" spans="1:2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112"/>
      <c r="U56" s="117"/>
    </row>
    <row r="57" spans="1:21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U57" s="112"/>
    </row>
    <row r="58" spans="1:21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U58" s="112"/>
    </row>
    <row r="59" spans="1:21" x14ac:dyDescent="0.25">
      <c r="A59" s="112"/>
      <c r="B59" s="112"/>
      <c r="C59" s="112"/>
    </row>
    <row r="60" spans="1:21" x14ac:dyDescent="0.25">
      <c r="A60" s="112"/>
      <c r="B60" s="112"/>
      <c r="C60" s="112"/>
    </row>
  </sheetData>
  <mergeCells count="36">
    <mergeCell ref="A9:A10"/>
    <mergeCell ref="B9:B10"/>
    <mergeCell ref="C9:C10"/>
    <mergeCell ref="A8:C8"/>
    <mergeCell ref="B15:B16"/>
    <mergeCell ref="A35:C35"/>
    <mergeCell ref="A25:C25"/>
    <mergeCell ref="A26:C26"/>
    <mergeCell ref="B11:B14"/>
    <mergeCell ref="C12:C14"/>
    <mergeCell ref="A17:A18"/>
    <mergeCell ref="B33:B34"/>
    <mergeCell ref="A33:A34"/>
    <mergeCell ref="C33:C34"/>
    <mergeCell ref="A22:C22"/>
    <mergeCell ref="E9:I9"/>
    <mergeCell ref="E19:I19"/>
    <mergeCell ref="G20:I20"/>
    <mergeCell ref="E16:I16"/>
    <mergeCell ref="E17:I17"/>
    <mergeCell ref="E12:I12"/>
    <mergeCell ref="E13:I13"/>
    <mergeCell ref="E14:I14"/>
    <mergeCell ref="E10:I10"/>
    <mergeCell ref="E11:I11"/>
    <mergeCell ref="E27:I27"/>
    <mergeCell ref="B17:B18"/>
    <mergeCell ref="C17:C18"/>
    <mergeCell ref="E15:I15"/>
    <mergeCell ref="E20:F20"/>
    <mergeCell ref="C15:C16"/>
    <mergeCell ref="G22:I22"/>
    <mergeCell ref="G21:I21"/>
    <mergeCell ref="E24:I24"/>
    <mergeCell ref="E25:I25"/>
    <mergeCell ref="E26:I26"/>
  </mergeCells>
  <conditionalFormatting sqref="C11">
    <cfRule type="expression" dxfId="1" priority="29">
      <formula xml:space="preserve"> ($C$25*$C$17) &gt; ($C$12 * (10^-6) * $C$21)</formula>
    </cfRule>
    <cfRule type="expression" dxfId="0" priority="30">
      <formula xml:space="preserve"> ($C$25*$C$17) &lt; ($C$12 * (10^-6) * $C$21)</formula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" xr:uid="{FB108A09-37C5-45D5-AB21-3A8831979DD3}">
      <formula1>"25, 50, 125, 250"</formula1>
    </dataValidation>
    <dataValidation type="list" allowBlank="1" showInputMessage="1" showErrorMessage="1" sqref="F22" xr:uid="{5B1892F5-A6B3-411B-ABBE-3027A1C0C738}">
      <formula1>"4,8,12,18,27.04,40.48,60.72,91.12,136.72,239.2.,418.64,732.56,1282,2563.92,5127.92"</formula1>
    </dataValidation>
    <dataValidation type="list" allowBlank="1" showInputMessage="1" showErrorMessage="1" sqref="E22:F22" xr:uid="{C9CE2714-B167-4807-B2F0-5AE7482C1158}">
      <formula1>"1,2,3,4,6,8,16,32"</formula1>
    </dataValidation>
    <dataValidation type="list" allowBlank="1" showInputMessage="1" showErrorMessage="1" sqref="D10 C9" xr:uid="{4102ED3D-2B20-42A7-9949-928BD35BD6C4}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921-6956-42BB-9551-A0928BF140E5}">
  <dimension ref="B2:K39"/>
  <sheetViews>
    <sheetView zoomScale="70" zoomScaleNormal="70" workbookViewId="0">
      <selection activeCell="D51" sqref="D51"/>
    </sheetView>
  </sheetViews>
  <sheetFormatPr defaultRowHeight="15" x14ac:dyDescent="0.25"/>
  <cols>
    <col min="2" max="2" width="31.5703125" customWidth="1"/>
    <col min="3" max="3" width="19.85546875" customWidth="1"/>
    <col min="4" max="4" width="14.5703125" customWidth="1"/>
    <col min="5" max="5" width="18.42578125" customWidth="1"/>
    <col min="6" max="6" width="17" customWidth="1"/>
    <col min="7" max="7" width="11.42578125" customWidth="1"/>
  </cols>
  <sheetData>
    <row r="2" spans="2:11" ht="18.75" x14ac:dyDescent="0.3">
      <c r="B2" s="334" t="s">
        <v>34</v>
      </c>
      <c r="C2" s="335"/>
      <c r="D2" s="335"/>
      <c r="E2" s="336"/>
    </row>
    <row r="3" spans="2:11" x14ac:dyDescent="0.25">
      <c r="B3" s="9" t="s">
        <v>28</v>
      </c>
      <c r="C3" s="10" t="s">
        <v>29</v>
      </c>
      <c r="D3" s="10" t="s">
        <v>30</v>
      </c>
      <c r="E3" s="10" t="s">
        <v>39</v>
      </c>
    </row>
    <row r="4" spans="2:11" ht="18" x14ac:dyDescent="0.35">
      <c r="B4" s="15" t="s">
        <v>38</v>
      </c>
      <c r="C4" s="8">
        <f>((('Voltage Output Mode'!C12)/('Voltage Output Mode'!C16))*'Voltage Output Mode'!C14)+'Voltage Output Mode'!C12</f>
        <v>3.3</v>
      </c>
      <c r="D4" s="8">
        <f>((('Voltage Output Mode'!C12)/('Voltage Output Mode'!C16))*'Voltage Output Mode'!C14)+'Voltage Output Mode'!C12</f>
        <v>3.3</v>
      </c>
      <c r="E4" s="8">
        <f>((('Voltage Output Mode'!C12)/('Voltage Output Mode'!C16))*'Voltage Output Mode'!C14)+'Voltage Output Mode'!C12</f>
        <v>3.3</v>
      </c>
    </row>
    <row r="5" spans="2:11" ht="18" x14ac:dyDescent="0.35">
      <c r="B5" s="2" t="s">
        <v>1</v>
      </c>
      <c r="C5" s="8">
        <f>(('Voltage Output Mode'!G45+(('Voltage Output Mode'!C12-(HEX2DEC(MID(RawCalculations!F17,3,2))*'Voltage Output Mode'!G37))/'Voltage Output Mode'!C31))*'Voltage Output Mode'!C14)+'Voltage Output Mode'!C12</f>
        <v>3.6320886948529409</v>
      </c>
      <c r="D5" s="8">
        <f>(('Voltage Output Mode'!G45+(('Voltage Output Mode'!C12-(HEX2DEC(MID(RawCalculations!F20,3,3))*'Voltage Output Mode'!G41))/'Voltage Output Mode'!C31))*'Voltage Output Mode'!C14)+'Voltage Output Mode'!C12</f>
        <v>3.6320886948529409</v>
      </c>
      <c r="E5" s="8">
        <f>(('Voltage Output Mode'!G45+(('Voltage Output Mode'!C12-(HEX2DEC(MID(RawCalculations!F23,3,3))*'Voltage Output Mode'!G44))/'Voltage Output Mode'!C31))*'Voltage Output Mode'!C14)+'Voltage Output Mode'!C12</f>
        <v>3.6320886948529409</v>
      </c>
    </row>
    <row r="6" spans="2:11" ht="18" x14ac:dyDescent="0.35">
      <c r="B6" s="2" t="s">
        <v>2</v>
      </c>
      <c r="C6" s="8">
        <f xml:space="preserve"> ((('Voltage Output Mode'!G45)-(((HEX2DEC(MID(RawCalculations!F18,3,2))*'Voltage Output Mode'!G37)-'Voltage Output Mode'!C12)/'Voltage Output Mode'!C31))*'Voltage Output Mode'!C14)+'Voltage Output Mode'!C12</f>
        <v>2.9689797794117645</v>
      </c>
      <c r="D6" s="8">
        <f xml:space="preserve"> ((('Voltage Output Mode'!G45)-(((HEX2DEC(MID(RawCalculations!F21,3,3))*'Voltage Output Mode'!G41)-'Voltage Output Mode'!C12)/'Voltage Output Mode'!C31))*'Voltage Output Mode'!C14)+'Voltage Output Mode'!C12</f>
        <v>2.9679371553308824</v>
      </c>
      <c r="E6" s="8">
        <f xml:space="preserve"> ((('Voltage Output Mode'!G45)-(((HEX2DEC(MID(RawCalculations!F24,3,3))*'Voltage Output Mode'!G44)-'Voltage Output Mode'!C12)/'Voltage Output Mode'!C31))*'Voltage Output Mode'!C14)+'Voltage Output Mode'!C12</f>
        <v>2.9676764993106612</v>
      </c>
    </row>
    <row r="7" spans="2:11" ht="18" x14ac:dyDescent="0.35">
      <c r="B7" s="2" t="s">
        <v>37</v>
      </c>
      <c r="C7" s="8">
        <f xml:space="preserve"> ((('Voltage Output Mode'!G45)-(((HEX2DEC(MID(RawCalculations!F16,3,2))*'Voltage Output Mode'!G37)-'Voltage Output Mode'!C12)/'Voltage Output Mode'!C31))*'Voltage Output Mode'!C14)+'Voltage Output Mode'!C12</f>
        <v>3.3026194852941173</v>
      </c>
      <c r="D7" s="8">
        <f xml:space="preserve"> ((('Voltage Output Mode'!G45)-(((HEX2DEC(MID(RawCalculations!F19,3,3))*'Voltage Output Mode'!G41)-'Voltage Output Mode'!C12)/'Voltage Output Mode'!C31))*'Voltage Output Mode'!C14)+'Voltage Output Mode'!C12</f>
        <v>3.3005342371323527</v>
      </c>
      <c r="E7" s="8">
        <f xml:space="preserve"> ((('Voltage Output Mode'!G45)-(((HEX2DEC(MID(RawCalculations!F22,3,3))*'Voltage Output Mode'!G44)-'Voltage Output Mode'!C12)/'Voltage Output Mode'!C31))*'Voltage Output Mode'!C14)+'Voltage Output Mode'!C12</f>
        <v>3.3000129250919117</v>
      </c>
    </row>
    <row r="8" spans="2:11" x14ac:dyDescent="0.25">
      <c r="B8" s="9" t="s">
        <v>31</v>
      </c>
      <c r="C8" s="10" t="s">
        <v>29</v>
      </c>
      <c r="D8" s="10" t="s">
        <v>30</v>
      </c>
      <c r="E8" s="10" t="s">
        <v>39</v>
      </c>
    </row>
    <row r="9" spans="2:11" x14ac:dyDescent="0.25">
      <c r="B9" s="11" t="s">
        <v>32</v>
      </c>
      <c r="C9" s="22">
        <f>('Voltage Output Mode'!G37/'Voltage Output Mode'!C31)*'Voltage Output Mode'!C14</f>
        <v>4.1704963235294117E-3</v>
      </c>
      <c r="D9" s="6">
        <f>('Voltage Output Mode'!G41/'Voltage Output Mode'!C31)*'Voltage Output Mode'!C14</f>
        <v>1.0426240808823529E-3</v>
      </c>
      <c r="E9" s="6">
        <f>('Voltage Output Mode'!G44/'Voltage Output Mode'!C31)*'Voltage Output Mode'!C14</f>
        <v>2.6065602022058823E-4</v>
      </c>
    </row>
    <row r="10" spans="2:11" x14ac:dyDescent="0.25">
      <c r="B10" s="24" t="s">
        <v>33</v>
      </c>
      <c r="C10" s="12">
        <f xml:space="preserve"> ABS(C9/('Voltage Output Mode'!C29))</f>
        <v>1.2637867647058822E-3</v>
      </c>
      <c r="D10" s="12">
        <f xml:space="preserve"> ABS(D9/('Voltage Output Mode'!C29))</f>
        <v>3.1594669117647055E-4</v>
      </c>
      <c r="E10" s="12">
        <f xml:space="preserve"> ABS(E9/('Voltage Output Mode'!C29))</f>
        <v>7.8986672794117637E-5</v>
      </c>
    </row>
    <row r="14" spans="2:11" x14ac:dyDescent="0.25">
      <c r="B14" s="337" t="s">
        <v>67</v>
      </c>
      <c r="C14" s="338"/>
      <c r="D14" s="338"/>
      <c r="E14" s="338"/>
      <c r="F14" s="339"/>
    </row>
    <row r="15" spans="2:11" ht="45" x14ac:dyDescent="0.25">
      <c r="B15" s="16" t="s">
        <v>11</v>
      </c>
      <c r="C15" s="16" t="s">
        <v>60</v>
      </c>
      <c r="D15" s="17" t="s">
        <v>56</v>
      </c>
      <c r="E15" s="17" t="s">
        <v>57</v>
      </c>
      <c r="F15" s="21" t="s">
        <v>27</v>
      </c>
      <c r="K15">
        <v>1.5</v>
      </c>
    </row>
    <row r="16" spans="2:11" x14ac:dyDescent="0.25">
      <c r="B16" s="4" t="s">
        <v>12</v>
      </c>
      <c r="C16" s="13" t="str">
        <f>_xlfn.SWITCH('Voltage Output Mode'!C9,0,"19h",1,"1Ah",2,"1Bh",3,"1Ch")</f>
        <v>1Ah</v>
      </c>
      <c r="D16" s="13" t="str">
        <f xml:space="preserve"> IF('Voltage Output Mode'!C9=0, "00h", IF('Voltage Output Mode'!C9=1, "01h", IF( 'Voltage Output Mode'!C9=2, "02h", "03h")))</f>
        <v>01h</v>
      </c>
      <c r="E16" s="4" t="s">
        <v>13</v>
      </c>
      <c r="F16" s="7" t="str">
        <f xml:space="preserve"> "0x" &amp; DEC2HEX(('Voltage Output Mode'!C12)/'Voltage Output Mode'!G37,2) &amp; "  [7:0]"</f>
        <v>0x54  [7:0]</v>
      </c>
      <c r="K16" s="18">
        <v>2</v>
      </c>
    </row>
    <row r="17" spans="2:11" x14ac:dyDescent="0.25">
      <c r="B17" s="4" t="s">
        <v>16</v>
      </c>
      <c r="C17" s="13" t="str">
        <f>_xlfn.SWITCH('Voltage Output Mode'!C9,0,"01h",1,"07h",2,"0Dh",3,"13h")</f>
        <v>07h</v>
      </c>
      <c r="D17" s="13" t="str">
        <f xml:space="preserve"> IF('Voltage Output Mode'!C9=0, "00h", IF('Voltage Output Mode'!C9=1, "01h", IF( 'Voltage Output Mode'!C9=2, "02h", "03h")))</f>
        <v>01h</v>
      </c>
      <c r="E17" s="4" t="s">
        <v>17</v>
      </c>
      <c r="F17" s="3" t="str">
        <f xml:space="preserve"> "0x" &amp; DEC2HEX(RIGHT('Voltage Output Mode'!G35,2),2) &amp; "  [7:0]"</f>
        <v>0x05  [7:0]</v>
      </c>
      <c r="K17" s="18">
        <v>3</v>
      </c>
    </row>
    <row r="18" spans="2:11" x14ac:dyDescent="0.25">
      <c r="B18" s="4" t="s">
        <v>19</v>
      </c>
      <c r="C18" s="13" t="str">
        <f>_xlfn.SWITCH('Voltage Output Mode'!C9,0,"02h",1,"08h",2,"0Eh",3,"14h")</f>
        <v>08h</v>
      </c>
      <c r="D18" s="13" t="str">
        <f xml:space="preserve"> IF('Voltage Output Mode'!C9=0, "00h", IF('Voltage Output Mode'!C9=1, "01h", IF( 'Voltage Output Mode'!C9=2, "02h", "03h")))</f>
        <v>01h</v>
      </c>
      <c r="E18" s="4" t="s">
        <v>20</v>
      </c>
      <c r="F18" s="7" t="str">
        <f>"0x" &amp; DEC2HEX((HEX2DEC(MID(F16,3,2))-HEX2DEC(MID(F17,3,2)))+HEX2DEC(MID(F16,3,2))+1,2) &amp; "  [7:0]"</f>
        <v>0xA4  [7:0]</v>
      </c>
      <c r="K18">
        <v>4</v>
      </c>
    </row>
    <row r="19" spans="2:11" x14ac:dyDescent="0.25">
      <c r="B19" s="4" t="s">
        <v>14</v>
      </c>
      <c r="C19" s="13" t="str">
        <f>_xlfn.SWITCH('Voltage Output Mode'!C9,0,"19h",1,"1Ah",2,"1Bh",3,"1Ch")</f>
        <v>1Ah</v>
      </c>
      <c r="D19" s="13" t="str">
        <f xml:space="preserve"> IF('Voltage Output Mode'!C9=0, "00h", IF('Voltage Output Mode'!C9=1, "01h", IF( 'Voltage Output Mode'!C9=2, "02h", "03h")))</f>
        <v>01h</v>
      </c>
      <c r="E19" s="4" t="s">
        <v>13</v>
      </c>
      <c r="F19" s="3" t="str">
        <f>"0x" &amp; DEC2HEX(('Voltage Output Mode'!C12)/('Voltage Output Mode'!G41), 3) &amp; "  [9:0]"</f>
        <v>0x152  [9:0]</v>
      </c>
      <c r="G19" t="s">
        <v>146</v>
      </c>
      <c r="H19" s="18"/>
    </row>
    <row r="20" spans="2:11" x14ac:dyDescent="0.25">
      <c r="B20" s="4" t="s">
        <v>18</v>
      </c>
      <c r="C20" s="13" t="str">
        <f>_xlfn.SWITCH('Voltage Output Mode'!C9,0,"01h",1,"07h",2,"0Dh",3,"13h")</f>
        <v>07h</v>
      </c>
      <c r="D20" s="13" t="str">
        <f xml:space="preserve"> IF('Voltage Output Mode'!C9=0, "00h", IF('Voltage Output Mode'!C9=1, "01h", IF( 'Voltage Output Mode'!C9=2, "02h", "03h")))</f>
        <v>01h</v>
      </c>
      <c r="E20" s="4" t="s">
        <v>17</v>
      </c>
      <c r="F20" s="3" t="str">
        <f>"0x" &amp; DEC2HEX(_xlfn.BITRSHIFT(HEX2DEC(RIGHT('Voltage Output Mode'!G35,2)),-2),3) &amp; "  [9:0]"</f>
        <v>0x014  [9:0]</v>
      </c>
      <c r="G20" s="37" t="str">
        <f>DEC2HEX(_xlfn.BITRSHIFT(HEX2DEC(RIGHT('Voltage Output Mode'!G35,2)),-4),3)</f>
        <v>050</v>
      </c>
    </row>
    <row r="21" spans="2:11" x14ac:dyDescent="0.25">
      <c r="B21" s="4" t="s">
        <v>21</v>
      </c>
      <c r="C21" s="13" t="str">
        <f>_xlfn.SWITCH('Voltage Output Mode'!C9,0,"02h",1,"08h",2,"0Eh",3,"14h")</f>
        <v>08h</v>
      </c>
      <c r="D21" s="13" t="str">
        <f xml:space="preserve"> IF('Voltage Output Mode'!C9=0, "00h", IF('Voltage Output Mode'!C9=1, "01h", IF( 'Voltage Output Mode'!C9=2, "02h", "03h")))</f>
        <v>01h</v>
      </c>
      <c r="E21" s="4" t="s">
        <v>20</v>
      </c>
      <c r="F21" s="3" t="str">
        <f>"0x" &amp; DEC2HEX((HEX2DEC(MID(F19,3,3))-HEX2DEC(MID(F20,3,3)))+HEX2DEC(MID(F19,3,3))+1,3) &amp; "  [9:0]"</f>
        <v>0x291  [9:0]</v>
      </c>
      <c r="G21" s="37" t="str">
        <f xml:space="preserve"> DEC2HEX(((HEX2DEC(MID(F19,3,3))-HEX2DEC(MID(F20,3,3)))+HEX2DEC(MID(F19,3,3))+1)*4,3)</f>
        <v>A44</v>
      </c>
      <c r="H21" s="3"/>
    </row>
    <row r="22" spans="2:11" x14ac:dyDescent="0.25">
      <c r="B22" s="13" t="s">
        <v>45</v>
      </c>
      <c r="C22" s="13" t="str">
        <f>_xlfn.SWITCH('Voltage Output Mode'!C9,0,"19h",1,"1Ah",2,"1Bh",3,"1Ch")</f>
        <v>1Ah</v>
      </c>
      <c r="D22" s="13" t="str">
        <f xml:space="preserve"> IF('Voltage Output Mode'!C9=0, "00h", IF('Voltage Output Mode'!C9=1, "01h", IF( 'Voltage Output Mode'!C9=2, "02h", "03h")))</f>
        <v>01h</v>
      </c>
      <c r="E22" s="13" t="s">
        <v>13</v>
      </c>
      <c r="F22" s="5" t="str">
        <f>"0x" &amp; DEC2HEX(('Voltage Output Mode'!C12)/('Voltage Output Mode'!G44), 3) &amp; "  [11:0]"</f>
        <v>0x54A  [11:0]</v>
      </c>
    </row>
    <row r="23" spans="2:11" x14ac:dyDescent="0.25">
      <c r="B23" s="14" t="s">
        <v>46</v>
      </c>
      <c r="C23" s="14" t="str">
        <f>_xlfn.SWITCH('Voltage Output Mode'!C9,0,"01h",1,"07h",2,"0Dh",3,"13h")</f>
        <v>07h</v>
      </c>
      <c r="D23" s="13" t="str">
        <f xml:space="preserve"> IF('Voltage Output Mode'!C9=0, "00h", IF('Voltage Output Mode'!C9=1, "01h", IF( 'Voltage Output Mode'!C9=2, "02h", "03h")))</f>
        <v>01h</v>
      </c>
      <c r="E23" s="13" t="s">
        <v>17</v>
      </c>
      <c r="F23" s="5" t="str">
        <f>"0x" &amp; DEC2HEX(_xlfn.BITRSHIFT(HEX2DEC(RIGHT('Voltage Output Mode'!G35,2)),-4),3) &amp; "  [11:0]"</f>
        <v>0x050  [11:0]</v>
      </c>
    </row>
    <row r="24" spans="2:11" x14ac:dyDescent="0.25">
      <c r="B24" s="14" t="s">
        <v>47</v>
      </c>
      <c r="C24" s="14" t="str">
        <f>_xlfn.SWITCH('Voltage Output Mode'!C9,0,"02h",1,"08h",2,"0Eh",3,"14h")</f>
        <v>08h</v>
      </c>
      <c r="D24" s="13" t="str">
        <f xml:space="preserve"> IF('Voltage Output Mode'!C9=0, "00h", IF('Voltage Output Mode'!C9=1, "01h", IF( 'Voltage Output Mode'!C9=2, "02h", "03h")))</f>
        <v>01h</v>
      </c>
      <c r="E24" s="13" t="s">
        <v>20</v>
      </c>
      <c r="F24" s="5" t="str">
        <f>"0x" &amp; DEC2HEX((HEX2DEC(MID(F22,3,3))-HEX2DEC(MID(F23,3,3)))+HEX2DEC(MID(F22,3,3))+1,3) &amp; "  [11:0]"</f>
        <v>0xA45  [11:0]</v>
      </c>
    </row>
    <row r="25" spans="2:11" x14ac:dyDescent="0.25">
      <c r="B25" s="14" t="s">
        <v>152</v>
      </c>
      <c r="C25" s="1"/>
      <c r="D25" s="1"/>
      <c r="E25" s="1"/>
      <c r="F25" s="27" t="str">
        <f xml:space="preserve">  "0x" &amp; DEC2HEX((128-(('Current Output Mode'!C23*'Current Output Mode'!C15)/('Current Output Mode'!C32))),2)</f>
        <v>0x73</v>
      </c>
    </row>
    <row r="26" spans="2:11" x14ac:dyDescent="0.25">
      <c r="B26" s="14" t="s">
        <v>153</v>
      </c>
      <c r="C26" s="1"/>
      <c r="D26" s="1"/>
      <c r="E26" s="1"/>
      <c r="F26" s="42" t="str">
        <f xml:space="preserve">  "0x" &amp; DEC2HEX((128+(('Current Output Mode'!C23*'Current Output Mode'!C15)/('Current Output Mode'!C32))),2)</f>
        <v>0x8C</v>
      </c>
    </row>
    <row r="27" spans="2:11" x14ac:dyDescent="0.25">
      <c r="B27" s="338" t="s">
        <v>70</v>
      </c>
      <c r="C27" s="338"/>
      <c r="D27" s="338"/>
      <c r="E27" s="338"/>
      <c r="F27" s="338"/>
    </row>
    <row r="28" spans="2:11" ht="45" x14ac:dyDescent="0.25">
      <c r="B28" s="20" t="s">
        <v>11</v>
      </c>
      <c r="C28" s="20" t="s">
        <v>60</v>
      </c>
      <c r="D28" s="21" t="s">
        <v>56</v>
      </c>
      <c r="E28" s="21" t="s">
        <v>57</v>
      </c>
      <c r="F28" s="21" t="s">
        <v>27</v>
      </c>
      <c r="H28" s="18"/>
    </row>
    <row r="29" spans="2:11" x14ac:dyDescent="0.25">
      <c r="B29" s="1" t="s">
        <v>71</v>
      </c>
      <c r="C29" s="1" t="str">
        <f>_xlfn.SWITCH('Voltage Output Mode'!C9,0,"19h",1,"1Ah",2,"1Bh",3,"1Ch")</f>
        <v>1Ah</v>
      </c>
      <c r="D29" s="23" t="str">
        <f xml:space="preserve"> IF('Voltage Output Mode'!L65=0, "00h", IF('Voltage Output Mode'!L65=1, "01h", IF( 'Voltage Output Mode'!L65=2, "02h", "03h")))</f>
        <v>00h</v>
      </c>
      <c r="E29" s="23" t="s">
        <v>13</v>
      </c>
      <c r="F29" s="6" t="e">
        <f>DEC2HEX(HEX2DEC(MID(RawCalculations!F16,3,2)) +('Voltage Output Mode'!C29*'Voltage Output Mode'!E29/RawCalculations!C9)) &amp; " [7:0]"</f>
        <v>#VALUE!</v>
      </c>
      <c r="H29" s="18"/>
    </row>
    <row r="30" spans="2:11" x14ac:dyDescent="0.25">
      <c r="B30" s="1" t="s">
        <v>72</v>
      </c>
      <c r="C30" s="1" t="str">
        <f>_xlfn.SWITCH('Voltage Output Mode'!C9,0,"19h",1,"1Ah",2,"1Bh",3,"1Ch")</f>
        <v>1Ah</v>
      </c>
      <c r="D30" s="23" t="str">
        <f xml:space="preserve"> IF('Voltage Output Mode'!L66=0, "00h", IF('Voltage Output Mode'!L66=1, "01h", IF( 'Voltage Output Mode'!L66=2, "02h", "03h")))</f>
        <v>00h</v>
      </c>
      <c r="E30" s="23" t="s">
        <v>13</v>
      </c>
      <c r="F30" s="1" t="e">
        <f>DEC2HEX(HEX2DEC(MID(RawCalculations!F19,3,3)) +('Voltage Output Mode'!C29*'Voltage Output Mode'!E29/RawCalculations!D9)) &amp; " [9:0]"</f>
        <v>#VALUE!</v>
      </c>
    </row>
    <row r="31" spans="2:11" x14ac:dyDescent="0.25">
      <c r="B31" s="1" t="s">
        <v>73</v>
      </c>
      <c r="C31" s="1" t="str">
        <f>_xlfn.SWITCH('Voltage Output Mode'!C9,0,"19h",1,"1Ah",2,"1Bh",3,"1Ch")</f>
        <v>1Ah</v>
      </c>
      <c r="D31" s="23" t="str">
        <f xml:space="preserve"> IF('Voltage Output Mode'!L67=0, "00h", IF('Voltage Output Mode'!L67=1, "01h", IF( 'Voltage Output Mode'!L67=2, "02h", "03h")))</f>
        <v>00h</v>
      </c>
      <c r="E31" s="23" t="s">
        <v>13</v>
      </c>
      <c r="F31" s="1" t="e">
        <f>DEC2HEX(HEX2DEC(MID(RawCalculations!F22,3,3)) +('Voltage Output Mode'!C29*'Voltage Output Mode'!E29/RawCalculations!E9)) &amp; " [11:0]"</f>
        <v>#VALUE!</v>
      </c>
    </row>
    <row r="34" spans="2:7" x14ac:dyDescent="0.25">
      <c r="B34" s="340" t="s">
        <v>69</v>
      </c>
      <c r="C34" s="340"/>
      <c r="D34" s="340"/>
      <c r="E34" s="340"/>
    </row>
    <row r="35" spans="2:7" ht="30" x14ac:dyDescent="0.25">
      <c r="B35" s="26" t="s">
        <v>51</v>
      </c>
      <c r="C35" s="26" t="s">
        <v>58</v>
      </c>
      <c r="D35" s="26" t="s">
        <v>55</v>
      </c>
      <c r="E35" s="25" t="s">
        <v>59</v>
      </c>
      <c r="F35" s="28" t="s">
        <v>85</v>
      </c>
    </row>
    <row r="36" spans="2:7" x14ac:dyDescent="0.25">
      <c r="B36" s="33" t="s">
        <v>52</v>
      </c>
      <c r="C36" s="34">
        <f>('Voltage Output Mode'!E24*'Voltage Output Mode'!G37)/('Voltage Output Mode'!F24*10^-6)</f>
        <v>1.3825964036100407</v>
      </c>
      <c r="D36" s="35">
        <f>(CEILING(HEX2DEC(MID(RawCalculations!F18,3,2))-HEX2DEC(MID(RawCalculations!F17,3,2))/F36+1,1))* 'Voltage Output Mode'!F24 * (10^-6)</f>
        <v>0.82046719999999995</v>
      </c>
      <c r="E36" s="36">
        <f xml:space="preserve"> ABS((RawCalculations!C7 - RawCalculations!C5)/D36)</f>
        <v>0.40156292604850463</v>
      </c>
      <c r="F36">
        <f>'Voltage Output Mode'!E24</f>
        <v>1</v>
      </c>
    </row>
    <row r="37" spans="2:7" x14ac:dyDescent="0.25">
      <c r="B37" s="30" t="s">
        <v>149</v>
      </c>
      <c r="C37" s="31"/>
      <c r="D37" s="32">
        <f>(CEILING(HEX2DEC(MID(RawCalculations!F21,3,2))-HEX2DEC(MID(RawCalculations!F20,3,2))/F36+1,1))* 'Voltage Output Mode'!F24 * (10^-6)</f>
        <v>0.21024472</v>
      </c>
      <c r="E37" s="31"/>
      <c r="F37" s="30"/>
      <c r="G37" s="30"/>
    </row>
    <row r="38" spans="2:7" x14ac:dyDescent="0.25">
      <c r="B38" s="30" t="s">
        <v>150</v>
      </c>
      <c r="C38" s="31"/>
      <c r="D38" s="32">
        <f>(CEILING(HEX2DEC(MID(RawCalculations!F24,3,2))-HEX2DEC(MID(RawCalculations!F23,3,2))/F36+1,1))* 'Voltage Output Mode'!F24 * (10^-6)</f>
        <v>0.82046719999999995</v>
      </c>
      <c r="E38" s="31"/>
      <c r="F38" s="30"/>
      <c r="G38" s="30"/>
    </row>
    <row r="39" spans="2:7" x14ac:dyDescent="0.25">
      <c r="B39" s="30" t="s">
        <v>151</v>
      </c>
      <c r="C39" s="30"/>
      <c r="D39" s="30">
        <f>(CEILING(HEX2DEC(MID(RawCalculations!F26,3,2))-HEX2DEC(MID(RawCalculations!F25,3,2))/'Current Output Mode'!E22+1,1))* 'Current Output Mode'!F22 * (10^-6)</f>
        <v>3.5547199999999995E-3</v>
      </c>
      <c r="E39" s="30"/>
      <c r="F39" s="30"/>
      <c r="G39" s="30"/>
    </row>
  </sheetData>
  <mergeCells count="4">
    <mergeCell ref="B2:E2"/>
    <mergeCell ref="B14:F14"/>
    <mergeCell ref="B27:F27"/>
    <mergeCell ref="B34:E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A9D2-0B5E-411C-8153-75E6CC03FC6E}">
  <dimension ref="A1:G19"/>
  <sheetViews>
    <sheetView topLeftCell="A7" zoomScale="115" zoomScaleNormal="115" workbookViewId="0">
      <selection activeCell="F17" sqref="F17"/>
    </sheetView>
  </sheetViews>
  <sheetFormatPr defaultRowHeight="15" x14ac:dyDescent="0.25"/>
  <cols>
    <col min="1" max="1" width="12.85546875" customWidth="1"/>
    <col min="2" max="2" width="14.7109375" customWidth="1"/>
  </cols>
  <sheetData>
    <row r="1" spans="1:7" x14ac:dyDescent="0.25">
      <c r="A1" t="s">
        <v>118</v>
      </c>
      <c r="B1" t="s">
        <v>144</v>
      </c>
      <c r="F1" t="s">
        <v>143</v>
      </c>
    </row>
    <row r="2" spans="1:7" x14ac:dyDescent="0.25">
      <c r="A2" t="s">
        <v>120</v>
      </c>
      <c r="B2">
        <f>IF('Voltage Output Mode'!C18="Internal",1,0)</f>
        <v>1</v>
      </c>
      <c r="F2" t="s">
        <v>121</v>
      </c>
      <c r="G2" t="str">
        <f>_xlfn.SWITCH('Current Output Mode'!C21,0,"1FFE",1,"1FF7",2,"1FBF",3,"1DFF")</f>
        <v>1FFE</v>
      </c>
    </row>
    <row r="3" spans="1:7" x14ac:dyDescent="0.25">
      <c r="A3" t="s">
        <v>121</v>
      </c>
      <c r="B3" t="str">
        <f>_xlfn.SWITCH('Voltage Output Mode'!C9,0,"FF9",1,"FCF",2,"E7F",3,"3FF")</f>
        <v>FCF</v>
      </c>
    </row>
    <row r="4" spans="1:7" x14ac:dyDescent="0.25">
      <c r="A4" t="s">
        <v>112</v>
      </c>
      <c r="B4" t="s">
        <v>122</v>
      </c>
      <c r="C4" t="s">
        <v>123</v>
      </c>
      <c r="D4" t="s">
        <v>119</v>
      </c>
    </row>
    <row r="5" spans="1:7" x14ac:dyDescent="0.25">
      <c r="C5" s="18" t="str">
        <f>_xlfn.SWITCH('Voltage Output Mode'!C9,0,"03",1,"09",2,"0F",3,"15")</f>
        <v>09</v>
      </c>
      <c r="D5" s="18" t="str">
        <f>_xlfn.SWITCH('Voltage Output Mode'!D9,0,"D1",1,"D5",2,"D9",3,"DD")</f>
        <v>D1</v>
      </c>
      <c r="E5" t="str">
        <f>IF('Voltage Output Mode'!G8="I2C/SPI",Pseudocode!C5,Pseudocode!D5)</f>
        <v>D1</v>
      </c>
    </row>
    <row r="6" spans="1:7" x14ac:dyDescent="0.25">
      <c r="B6" t="s">
        <v>124</v>
      </c>
      <c r="C6" t="str">
        <f>IF('Voltage Output Mode'!C18="Internal",_xlfn.SWITCH('Voltage Output Mode'!C19,1.5,"400",2.5,"C00",3,"1000",4,"1400"),IF('Voltage Output Mode'!C18="External","0000","400"))</f>
        <v>400</v>
      </c>
      <c r="D6" t="str">
        <f>_xlfn.SWITCH('Voltage Output Mode'!C19,1.5,"400",2.5,"C00",3,"1000",4,"1400")</f>
        <v>400</v>
      </c>
    </row>
    <row r="7" spans="1:7" x14ac:dyDescent="0.25">
      <c r="A7" t="s">
        <v>126</v>
      </c>
      <c r="B7" t="s">
        <v>122</v>
      </c>
      <c r="C7" t="s">
        <v>123</v>
      </c>
      <c r="F7" s="18" t="s">
        <v>122</v>
      </c>
      <c r="G7" t="str">
        <f>_xlfn.SWITCH('Current Output Mode'!C9,0,"01",1,"07",2,"0D",3,"13")</f>
        <v>07</v>
      </c>
    </row>
    <row r="8" spans="1:7" x14ac:dyDescent="0.25">
      <c r="C8" t="str">
        <f>_xlfn.SWITCH('Voltage Output Mode'!C9,0,"01",1,"07",2,"0D",3,"13")</f>
        <v>07</v>
      </c>
    </row>
    <row r="9" spans="1:7" x14ac:dyDescent="0.25">
      <c r="B9" t="s">
        <v>124</v>
      </c>
    </row>
    <row r="10" spans="1:7" x14ac:dyDescent="0.25">
      <c r="C10" t="str">
        <f>_xlfn.SWITCH('Voltage Output Mode'!C8,"8-Bit",MID(RawCalculations!F17,3,3)&amp;"00","10-Bit",RawCalculations!G21&amp;"0","12-Bit",MID(RawCalculations!F23,3,3)&amp;0)</f>
        <v>05 00</v>
      </c>
    </row>
    <row r="11" spans="1:7" x14ac:dyDescent="0.25">
      <c r="A11" t="s">
        <v>128</v>
      </c>
      <c r="B11" t="s">
        <v>124</v>
      </c>
      <c r="F11" s="18"/>
    </row>
    <row r="12" spans="1:7" x14ac:dyDescent="0.25">
      <c r="C12" t="str">
        <f>_xlfn.SWITCH('Voltage Output Mode'!C8,"8-Bit",MID(RawCalculations!F18,3,3)&amp;"00","10-Bit",RawCalculations!G20&amp;"0","12-Bit",MID(RawCalculations!F24,3,3)&amp;0)</f>
        <v>A4 00</v>
      </c>
      <c r="D12" t="str">
        <f>_xlfn.SWITCH('Voltage Output Mode'!C9,0,"02",1,"08",2,"0E",3,"14")</f>
        <v>08</v>
      </c>
      <c r="F12" t="s">
        <v>148</v>
      </c>
      <c r="G12" t="str">
        <f>_xlfn.SWITCH('Current Output Mode'!C9,0,"02",1,"08",2,"0E",3,"14")</f>
        <v>08</v>
      </c>
    </row>
    <row r="14" spans="1:7" x14ac:dyDescent="0.25">
      <c r="A14" t="s">
        <v>129</v>
      </c>
      <c r="B14" t="s">
        <v>122</v>
      </c>
      <c r="C14" t="s">
        <v>123</v>
      </c>
      <c r="F14" s="18" t="s">
        <v>122</v>
      </c>
    </row>
    <row r="15" spans="1:7" x14ac:dyDescent="0.25">
      <c r="C15" t="str">
        <f>_xlfn.SWITCH('Voltage Output Mode'!C9,0,"06",1,"0C",2,"12",3,"18")</f>
        <v>0C</v>
      </c>
      <c r="F15" t="str">
        <f>_xlfn.SWITCH('Voltage Output Mode'!C9,0,"06",1,"0C",2,"12",3,"18")</f>
        <v>0C</v>
      </c>
    </row>
    <row r="16" spans="1:7" x14ac:dyDescent="0.25">
      <c r="B16" t="s">
        <v>124</v>
      </c>
      <c r="C16" t="s">
        <v>54</v>
      </c>
      <c r="D16" t="s">
        <v>129</v>
      </c>
      <c r="F16" s="18" t="s">
        <v>54</v>
      </c>
      <c r="G16" s="18" t="s">
        <v>129</v>
      </c>
    </row>
    <row r="17" spans="1:7" x14ac:dyDescent="0.25">
      <c r="C17" t="str">
        <f>_xlfn.SWITCH('Voltage Output Mode'!E24,1,"0",2,"1",3,"2",4,"3",6,"4",8,"5",16,"6",32,"7")</f>
        <v>0</v>
      </c>
      <c r="D17" t="str">
        <f>_xlfn.SWITCH('Voltage Output Mode'!F24,4,"1",8,"2",12,"3",18,"4",27.04,"5",40.48,"6",60.72,"7",91.12,"8",136.72,"9",239.2,"10",418.64,"11",732.56,"12",1282,"13",2563.96,"14",5127.92,"15")</f>
        <v>15</v>
      </c>
      <c r="F17" t="str">
        <f>_xlfn.SWITCH('Current Output Mode'!E22,1,"0",2,"1",3,"2",4,"3",6,"4",8,"5",16,"6",32,"7")</f>
        <v>0</v>
      </c>
      <c r="G17" t="str">
        <f>_xlfn.SWITCH('Current Output Mode'!F22,4,"1",8,"2",12,"3",18,"4",27.04,"5",40.48,"6",60.72,"7",91.12,"8",136.72,"9",239.2,"10",418.64,"11",732.56,"12",1282,"13",2563.96,"14",5127.92,"15")</f>
        <v>9</v>
      </c>
    </row>
    <row r="18" spans="1:7" x14ac:dyDescent="0.25">
      <c r="A18" t="s">
        <v>138</v>
      </c>
      <c r="B18" t="s">
        <v>139</v>
      </c>
      <c r="F18" t="s">
        <v>139</v>
      </c>
    </row>
    <row r="19" spans="1:7" x14ac:dyDescent="0.25">
      <c r="C19" t="str">
        <f>_xlfn.SWITCH('Voltage Output Mode'!C9,0,"0114",1,"0094",2,"0054",3,"0034")</f>
        <v>0094</v>
      </c>
      <c r="F19" t="str">
        <f>_xlfn.SWITCH('Voltage Output Mode'!C9,0,"0114",1,"0094",2,"0054",3,"0034")</f>
        <v>0094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FB04-6ECF-43BE-B4FE-DB02DAEF4F4A}">
  <dimension ref="A1:F1344"/>
  <sheetViews>
    <sheetView topLeftCell="A213" zoomScale="48" workbookViewId="0">
      <selection activeCell="I7" sqref="I7"/>
    </sheetView>
  </sheetViews>
  <sheetFormatPr defaultRowHeight="15" x14ac:dyDescent="0.25"/>
  <sheetData>
    <row r="1" spans="1:6" x14ac:dyDescent="0.25">
      <c r="A1">
        <v>1</v>
      </c>
      <c r="B1">
        <v>1000000</v>
      </c>
      <c r="C1">
        <v>10</v>
      </c>
      <c r="E1">
        <v>1</v>
      </c>
      <c r="F1">
        <v>1000000</v>
      </c>
    </row>
    <row r="2" spans="1:6" x14ac:dyDescent="0.25">
      <c r="A2">
        <v>1.02</v>
      </c>
      <c r="B2">
        <v>1020000</v>
      </c>
      <c r="E2">
        <v>1.01</v>
      </c>
      <c r="F2">
        <v>1010000</v>
      </c>
    </row>
    <row r="3" spans="1:6" x14ac:dyDescent="0.25">
      <c r="A3">
        <v>1.05</v>
      </c>
      <c r="B3">
        <v>1050000</v>
      </c>
      <c r="E3">
        <v>1.02</v>
      </c>
      <c r="F3">
        <v>1020000</v>
      </c>
    </row>
    <row r="4" spans="1:6" x14ac:dyDescent="0.25">
      <c r="A4">
        <v>1.07</v>
      </c>
      <c r="B4">
        <v>1070000.0000000002</v>
      </c>
      <c r="E4">
        <v>1.04</v>
      </c>
      <c r="F4">
        <v>1040000</v>
      </c>
    </row>
    <row r="5" spans="1:6" x14ac:dyDescent="0.25">
      <c r="A5">
        <v>1.1000000000000001</v>
      </c>
      <c r="B5">
        <v>1100000</v>
      </c>
      <c r="E5">
        <v>1.05</v>
      </c>
      <c r="F5">
        <v>1050000</v>
      </c>
    </row>
    <row r="6" spans="1:6" x14ac:dyDescent="0.25">
      <c r="A6">
        <v>1.1299999999999999</v>
      </c>
      <c r="B6">
        <v>1129999.9999999998</v>
      </c>
      <c r="E6">
        <v>1.06</v>
      </c>
      <c r="F6">
        <v>1060000.0000000002</v>
      </c>
    </row>
    <row r="7" spans="1:6" x14ac:dyDescent="0.25">
      <c r="A7">
        <v>1.1499999999999999</v>
      </c>
      <c r="B7">
        <v>1150000</v>
      </c>
      <c r="E7">
        <v>1.07</v>
      </c>
      <c r="F7">
        <v>1070000.0000000002</v>
      </c>
    </row>
    <row r="8" spans="1:6" x14ac:dyDescent="0.25">
      <c r="A8">
        <v>1.18</v>
      </c>
      <c r="B8">
        <v>1179999.9999999998</v>
      </c>
      <c r="E8">
        <v>1.0900000000000001</v>
      </c>
      <c r="F8">
        <v>1090000</v>
      </c>
    </row>
    <row r="9" spans="1:6" x14ac:dyDescent="0.25">
      <c r="A9">
        <v>1.21</v>
      </c>
      <c r="B9">
        <v>1210000</v>
      </c>
      <c r="E9">
        <v>1.1000000000000001</v>
      </c>
      <c r="F9">
        <v>1100000</v>
      </c>
    </row>
    <row r="10" spans="1:6" x14ac:dyDescent="0.25">
      <c r="A10">
        <v>1.24</v>
      </c>
      <c r="B10">
        <v>1240000</v>
      </c>
      <c r="E10">
        <v>1.1100000000000001</v>
      </c>
      <c r="F10">
        <v>1110000.0000000002</v>
      </c>
    </row>
    <row r="11" spans="1:6" x14ac:dyDescent="0.25">
      <c r="A11">
        <v>1.27</v>
      </c>
      <c r="B11">
        <v>1270000</v>
      </c>
      <c r="E11">
        <v>1.1299999999999999</v>
      </c>
      <c r="F11">
        <v>1129999.9999999998</v>
      </c>
    </row>
    <row r="12" spans="1:6" x14ac:dyDescent="0.25">
      <c r="A12">
        <v>1.3</v>
      </c>
      <c r="B12">
        <v>1300000</v>
      </c>
      <c r="E12">
        <v>1.1399999999999999</v>
      </c>
      <c r="F12">
        <v>1139999.9999999998</v>
      </c>
    </row>
    <row r="13" spans="1:6" x14ac:dyDescent="0.25">
      <c r="A13">
        <v>1.33</v>
      </c>
      <c r="B13">
        <v>1330000</v>
      </c>
      <c r="E13">
        <v>1.1499999999999999</v>
      </c>
      <c r="F13">
        <v>1150000</v>
      </c>
    </row>
    <row r="14" spans="1:6" x14ac:dyDescent="0.25">
      <c r="A14">
        <v>1.37</v>
      </c>
      <c r="B14">
        <v>1370000</v>
      </c>
      <c r="E14">
        <v>1.17</v>
      </c>
      <c r="F14">
        <v>1170000</v>
      </c>
    </row>
    <row r="15" spans="1:6" x14ac:dyDescent="0.25">
      <c r="A15">
        <v>1.4</v>
      </c>
      <c r="B15">
        <v>1400000</v>
      </c>
      <c r="E15">
        <v>1.18</v>
      </c>
      <c r="F15">
        <v>1179999.9999999998</v>
      </c>
    </row>
    <row r="16" spans="1:6" x14ac:dyDescent="0.25">
      <c r="A16">
        <v>1.43</v>
      </c>
      <c r="B16">
        <v>1430000</v>
      </c>
      <c r="E16">
        <v>1.2</v>
      </c>
      <c r="F16">
        <v>1200000</v>
      </c>
    </row>
    <row r="17" spans="1:6" x14ac:dyDescent="0.25">
      <c r="A17">
        <v>1.47</v>
      </c>
      <c r="B17">
        <v>1470000</v>
      </c>
      <c r="E17">
        <v>1.21</v>
      </c>
      <c r="F17">
        <v>1210000</v>
      </c>
    </row>
    <row r="18" spans="1:6" x14ac:dyDescent="0.25">
      <c r="A18">
        <v>1.5</v>
      </c>
      <c r="B18">
        <v>1500000</v>
      </c>
      <c r="E18">
        <v>1.23</v>
      </c>
      <c r="F18">
        <v>1230000</v>
      </c>
    </row>
    <row r="19" spans="1:6" x14ac:dyDescent="0.25">
      <c r="A19">
        <v>1.54</v>
      </c>
      <c r="B19">
        <v>1540000</v>
      </c>
      <c r="E19">
        <v>1.24</v>
      </c>
      <c r="F19">
        <v>1240000</v>
      </c>
    </row>
    <row r="20" spans="1:6" x14ac:dyDescent="0.25">
      <c r="A20">
        <v>1.58</v>
      </c>
      <c r="B20">
        <v>1580000</v>
      </c>
      <c r="E20">
        <v>1.26</v>
      </c>
      <c r="F20">
        <v>1260000</v>
      </c>
    </row>
    <row r="21" spans="1:6" x14ac:dyDescent="0.25">
      <c r="A21">
        <v>1.62</v>
      </c>
      <c r="B21">
        <v>1620000.0000000002</v>
      </c>
      <c r="E21">
        <v>1.27</v>
      </c>
      <c r="F21">
        <v>1270000</v>
      </c>
    </row>
    <row r="22" spans="1:6" x14ac:dyDescent="0.25">
      <c r="A22">
        <v>1.65</v>
      </c>
      <c r="B22">
        <v>1650000</v>
      </c>
      <c r="E22">
        <v>1.29</v>
      </c>
      <c r="F22">
        <v>1290000</v>
      </c>
    </row>
    <row r="23" spans="1:6" x14ac:dyDescent="0.25">
      <c r="A23">
        <v>1.69</v>
      </c>
      <c r="B23">
        <v>1690000</v>
      </c>
      <c r="E23">
        <v>1.3</v>
      </c>
      <c r="F23">
        <v>1300000</v>
      </c>
    </row>
    <row r="24" spans="1:6" x14ac:dyDescent="0.25">
      <c r="A24">
        <v>1.74</v>
      </c>
      <c r="B24">
        <v>1740000</v>
      </c>
      <c r="E24">
        <v>1.32</v>
      </c>
      <c r="F24">
        <v>1320000</v>
      </c>
    </row>
    <row r="25" spans="1:6" x14ac:dyDescent="0.25">
      <c r="A25">
        <v>1.78</v>
      </c>
      <c r="B25">
        <v>1780000</v>
      </c>
      <c r="E25">
        <v>1.33</v>
      </c>
      <c r="F25">
        <v>1330000</v>
      </c>
    </row>
    <row r="26" spans="1:6" x14ac:dyDescent="0.25">
      <c r="A26">
        <v>1.82</v>
      </c>
      <c r="B26">
        <v>1820000</v>
      </c>
      <c r="E26">
        <v>1.35</v>
      </c>
      <c r="F26">
        <v>1350000</v>
      </c>
    </row>
    <row r="27" spans="1:6" x14ac:dyDescent="0.25">
      <c r="A27">
        <v>1.87</v>
      </c>
      <c r="B27">
        <v>1870000.0000000002</v>
      </c>
      <c r="E27">
        <v>1.37</v>
      </c>
      <c r="F27">
        <v>1370000</v>
      </c>
    </row>
    <row r="28" spans="1:6" x14ac:dyDescent="0.25">
      <c r="A28">
        <v>1.91</v>
      </c>
      <c r="B28">
        <v>1909999.9999999998</v>
      </c>
      <c r="E28">
        <v>1.38</v>
      </c>
      <c r="F28">
        <v>1380000</v>
      </c>
    </row>
    <row r="29" spans="1:6" x14ac:dyDescent="0.25">
      <c r="A29">
        <v>1.96</v>
      </c>
      <c r="B29">
        <v>1960000</v>
      </c>
      <c r="E29">
        <v>1.4</v>
      </c>
      <c r="F29">
        <v>1400000</v>
      </c>
    </row>
    <row r="30" spans="1:6" x14ac:dyDescent="0.25">
      <c r="A30">
        <v>2</v>
      </c>
      <c r="B30">
        <v>2000000</v>
      </c>
      <c r="E30">
        <v>1.42</v>
      </c>
      <c r="F30">
        <v>1420000</v>
      </c>
    </row>
    <row r="31" spans="1:6" x14ac:dyDescent="0.25">
      <c r="A31">
        <v>2.0499999999999998</v>
      </c>
      <c r="B31">
        <v>2050000</v>
      </c>
      <c r="E31">
        <v>1.43</v>
      </c>
      <c r="F31">
        <v>1430000</v>
      </c>
    </row>
    <row r="32" spans="1:6" x14ac:dyDescent="0.25">
      <c r="A32">
        <v>2.1</v>
      </c>
      <c r="B32">
        <v>2100000</v>
      </c>
      <c r="E32">
        <v>1.45</v>
      </c>
      <c r="F32">
        <v>1450000</v>
      </c>
    </row>
    <row r="33" spans="1:6" x14ac:dyDescent="0.25">
      <c r="A33">
        <v>2.15</v>
      </c>
      <c r="B33">
        <v>2150000</v>
      </c>
      <c r="E33">
        <v>1.47</v>
      </c>
      <c r="F33">
        <v>1470000</v>
      </c>
    </row>
    <row r="34" spans="1:6" x14ac:dyDescent="0.25">
      <c r="A34">
        <v>2.21</v>
      </c>
      <c r="B34">
        <v>2210000</v>
      </c>
      <c r="E34">
        <v>1.49</v>
      </c>
      <c r="F34">
        <v>1490000</v>
      </c>
    </row>
    <row r="35" spans="1:6" x14ac:dyDescent="0.25">
      <c r="A35">
        <v>2.2599999999999998</v>
      </c>
      <c r="B35">
        <v>2259999.9999999995</v>
      </c>
      <c r="E35">
        <v>1.5</v>
      </c>
      <c r="F35">
        <v>1500000</v>
      </c>
    </row>
    <row r="36" spans="1:6" x14ac:dyDescent="0.25">
      <c r="A36">
        <v>2.3199999999999998</v>
      </c>
      <c r="B36">
        <v>2320000</v>
      </c>
      <c r="E36">
        <v>1.52</v>
      </c>
      <c r="F36">
        <v>1520000</v>
      </c>
    </row>
    <row r="37" spans="1:6" x14ac:dyDescent="0.25">
      <c r="A37">
        <v>2.37</v>
      </c>
      <c r="B37">
        <v>2370000.0000000005</v>
      </c>
      <c r="E37">
        <v>1.54</v>
      </c>
      <c r="F37">
        <v>1540000</v>
      </c>
    </row>
    <row r="38" spans="1:6" x14ac:dyDescent="0.25">
      <c r="A38">
        <v>2.4300000000000002</v>
      </c>
      <c r="B38">
        <v>2430000</v>
      </c>
      <c r="E38">
        <v>1.56</v>
      </c>
      <c r="F38">
        <v>1560000</v>
      </c>
    </row>
    <row r="39" spans="1:6" x14ac:dyDescent="0.25">
      <c r="A39">
        <v>2.4900000000000002</v>
      </c>
      <c r="B39">
        <v>2490000.0000000005</v>
      </c>
      <c r="E39">
        <v>1.58</v>
      </c>
      <c r="F39">
        <v>1580000</v>
      </c>
    </row>
    <row r="40" spans="1:6" x14ac:dyDescent="0.25">
      <c r="A40">
        <v>2.5499999999999998</v>
      </c>
      <c r="B40">
        <v>2550000</v>
      </c>
      <c r="E40">
        <v>1.6</v>
      </c>
      <c r="F40">
        <v>1600000</v>
      </c>
    </row>
    <row r="41" spans="1:6" x14ac:dyDescent="0.25">
      <c r="A41">
        <v>2.61</v>
      </c>
      <c r="B41">
        <v>2610000</v>
      </c>
      <c r="E41">
        <v>1.62</v>
      </c>
      <c r="F41">
        <v>1620000.0000000002</v>
      </c>
    </row>
    <row r="42" spans="1:6" x14ac:dyDescent="0.25">
      <c r="A42">
        <v>2.67</v>
      </c>
      <c r="B42">
        <v>2670000</v>
      </c>
      <c r="E42">
        <v>1.64</v>
      </c>
      <c r="F42">
        <v>1640000</v>
      </c>
    </row>
    <row r="43" spans="1:6" x14ac:dyDescent="0.25">
      <c r="A43">
        <v>2.74</v>
      </c>
      <c r="B43">
        <v>2740000</v>
      </c>
      <c r="E43">
        <v>1.65</v>
      </c>
      <c r="F43">
        <v>1650000</v>
      </c>
    </row>
    <row r="44" spans="1:6" x14ac:dyDescent="0.25">
      <c r="A44">
        <v>2.8</v>
      </c>
      <c r="B44">
        <v>2800000</v>
      </c>
      <c r="E44">
        <v>1.67</v>
      </c>
      <c r="F44">
        <v>1670000</v>
      </c>
    </row>
    <row r="45" spans="1:6" x14ac:dyDescent="0.25">
      <c r="A45">
        <v>2.87</v>
      </c>
      <c r="B45">
        <v>2870000</v>
      </c>
      <c r="E45">
        <v>1.69</v>
      </c>
      <c r="F45">
        <v>1690000</v>
      </c>
    </row>
    <row r="46" spans="1:6" x14ac:dyDescent="0.25">
      <c r="A46">
        <v>2.94</v>
      </c>
      <c r="B46">
        <v>2940000</v>
      </c>
      <c r="E46">
        <v>1.72</v>
      </c>
      <c r="F46">
        <v>1720000</v>
      </c>
    </row>
    <row r="47" spans="1:6" x14ac:dyDescent="0.25">
      <c r="A47">
        <v>3.01</v>
      </c>
      <c r="B47">
        <v>3010000</v>
      </c>
      <c r="E47">
        <v>1.74</v>
      </c>
      <c r="F47">
        <v>1740000</v>
      </c>
    </row>
    <row r="48" spans="1:6" x14ac:dyDescent="0.25">
      <c r="A48">
        <v>3.09</v>
      </c>
      <c r="B48">
        <v>3090000</v>
      </c>
      <c r="E48">
        <v>1.76</v>
      </c>
      <c r="F48">
        <v>1760000</v>
      </c>
    </row>
    <row r="49" spans="1:6" x14ac:dyDescent="0.25">
      <c r="A49">
        <v>3.16</v>
      </c>
      <c r="B49">
        <v>3160000</v>
      </c>
      <c r="E49">
        <v>1.78</v>
      </c>
      <c r="F49">
        <v>1780000</v>
      </c>
    </row>
    <row r="50" spans="1:6" x14ac:dyDescent="0.25">
      <c r="A50">
        <v>3.24</v>
      </c>
      <c r="B50">
        <v>3240000.0000000005</v>
      </c>
      <c r="E50">
        <v>1.8</v>
      </c>
      <c r="F50">
        <v>1800000</v>
      </c>
    </row>
    <row r="51" spans="1:6" x14ac:dyDescent="0.25">
      <c r="A51">
        <v>3.32</v>
      </c>
      <c r="B51">
        <v>3319999.9999999995</v>
      </c>
      <c r="E51">
        <v>1.82</v>
      </c>
      <c r="F51">
        <v>1820000</v>
      </c>
    </row>
    <row r="52" spans="1:6" x14ac:dyDescent="0.25">
      <c r="A52">
        <v>3.4</v>
      </c>
      <c r="B52">
        <v>3400000</v>
      </c>
      <c r="E52">
        <v>1.84</v>
      </c>
      <c r="F52">
        <v>1840000.0000000002</v>
      </c>
    </row>
    <row r="53" spans="1:6" x14ac:dyDescent="0.25">
      <c r="A53">
        <v>3.48</v>
      </c>
      <c r="B53">
        <v>3480000</v>
      </c>
      <c r="E53">
        <v>1.87</v>
      </c>
      <c r="F53">
        <v>1870000.0000000002</v>
      </c>
    </row>
    <row r="54" spans="1:6" x14ac:dyDescent="0.25">
      <c r="A54">
        <v>3.57</v>
      </c>
      <c r="B54">
        <v>3569999.9999999995</v>
      </c>
      <c r="E54">
        <v>1.89</v>
      </c>
      <c r="F54">
        <v>1890000</v>
      </c>
    </row>
    <row r="55" spans="1:6" x14ac:dyDescent="0.25">
      <c r="A55">
        <v>3.65</v>
      </c>
      <c r="B55">
        <v>3650000</v>
      </c>
      <c r="E55">
        <v>1.91</v>
      </c>
      <c r="F55">
        <v>1909999.9999999998</v>
      </c>
    </row>
    <row r="56" spans="1:6" x14ac:dyDescent="0.25">
      <c r="A56">
        <v>3.74</v>
      </c>
      <c r="B56">
        <v>3740000.0000000005</v>
      </c>
      <c r="E56">
        <v>1.93</v>
      </c>
      <c r="F56">
        <v>1930000</v>
      </c>
    </row>
    <row r="57" spans="1:6" x14ac:dyDescent="0.25">
      <c r="A57">
        <v>3.83</v>
      </c>
      <c r="B57">
        <v>3830000</v>
      </c>
      <c r="E57">
        <v>1.96</v>
      </c>
      <c r="F57">
        <v>1960000</v>
      </c>
    </row>
    <row r="58" spans="1:6" x14ac:dyDescent="0.25">
      <c r="A58">
        <v>3.92</v>
      </c>
      <c r="B58">
        <v>3920000</v>
      </c>
      <c r="E58">
        <v>1.98</v>
      </c>
      <c r="F58">
        <v>1980000</v>
      </c>
    </row>
    <row r="59" spans="1:6" x14ac:dyDescent="0.25">
      <c r="A59">
        <v>4.0199999999999996</v>
      </c>
      <c r="B59">
        <v>4019999.9999999995</v>
      </c>
      <c r="E59">
        <v>2</v>
      </c>
      <c r="F59">
        <v>2000000</v>
      </c>
    </row>
    <row r="60" spans="1:6" x14ac:dyDescent="0.25">
      <c r="A60">
        <v>4.12</v>
      </c>
      <c r="B60">
        <v>4120000</v>
      </c>
      <c r="E60">
        <v>2.0299999999999998</v>
      </c>
      <c r="F60">
        <v>2029999.9999999998</v>
      </c>
    </row>
    <row r="61" spans="1:6" x14ac:dyDescent="0.25">
      <c r="A61">
        <v>4.22</v>
      </c>
      <c r="B61">
        <v>4219999.9999999991</v>
      </c>
      <c r="E61">
        <v>2.0499999999999998</v>
      </c>
      <c r="F61">
        <v>2050000</v>
      </c>
    </row>
    <row r="62" spans="1:6" x14ac:dyDescent="0.25">
      <c r="A62">
        <v>4.32</v>
      </c>
      <c r="B62">
        <v>4320000</v>
      </c>
      <c r="E62">
        <v>2.08</v>
      </c>
      <c r="F62">
        <v>2080000</v>
      </c>
    </row>
    <row r="63" spans="1:6" x14ac:dyDescent="0.25">
      <c r="A63">
        <v>4.42</v>
      </c>
      <c r="B63">
        <v>4420000</v>
      </c>
      <c r="E63">
        <v>2.1</v>
      </c>
      <c r="F63">
        <v>2100000</v>
      </c>
    </row>
    <row r="64" spans="1:6" x14ac:dyDescent="0.25">
      <c r="A64">
        <v>4.53</v>
      </c>
      <c r="B64">
        <v>4530000.0000000009</v>
      </c>
      <c r="E64">
        <v>2.13</v>
      </c>
      <c r="F64">
        <v>2129999.9999999995</v>
      </c>
    </row>
    <row r="65" spans="1:6" x14ac:dyDescent="0.25">
      <c r="A65">
        <v>4.6399999999999997</v>
      </c>
      <c r="B65">
        <v>4640000</v>
      </c>
      <c r="E65">
        <v>2.15</v>
      </c>
      <c r="F65">
        <v>2150000</v>
      </c>
    </row>
    <row r="66" spans="1:6" x14ac:dyDescent="0.25">
      <c r="A66">
        <v>4.75</v>
      </c>
      <c r="B66">
        <v>4750000</v>
      </c>
      <c r="E66">
        <v>2.1800000000000002</v>
      </c>
      <c r="F66">
        <v>2180000</v>
      </c>
    </row>
    <row r="67" spans="1:6" x14ac:dyDescent="0.25">
      <c r="A67">
        <v>4.87</v>
      </c>
      <c r="B67">
        <v>4870000</v>
      </c>
      <c r="E67">
        <v>2.21</v>
      </c>
      <c r="F67">
        <v>2210000</v>
      </c>
    </row>
    <row r="68" spans="1:6" x14ac:dyDescent="0.25">
      <c r="A68">
        <v>4.99</v>
      </c>
      <c r="B68">
        <v>4990000.0000000009</v>
      </c>
      <c r="E68">
        <v>2.23</v>
      </c>
      <c r="F68">
        <v>2230000</v>
      </c>
    </row>
    <row r="69" spans="1:6" x14ac:dyDescent="0.25">
      <c r="A69">
        <v>5.1100000000000003</v>
      </c>
      <c r="B69">
        <v>5110000</v>
      </c>
      <c r="E69">
        <v>2.2599999999999998</v>
      </c>
      <c r="F69">
        <v>2259999.9999999995</v>
      </c>
    </row>
    <row r="70" spans="1:6" x14ac:dyDescent="0.25">
      <c r="A70">
        <v>5.23</v>
      </c>
      <c r="B70">
        <v>5230000</v>
      </c>
      <c r="E70">
        <v>2.29</v>
      </c>
      <c r="F70">
        <v>2290000</v>
      </c>
    </row>
    <row r="71" spans="1:6" x14ac:dyDescent="0.25">
      <c r="A71">
        <v>5.36</v>
      </c>
      <c r="B71">
        <v>5360000</v>
      </c>
      <c r="E71">
        <v>2.3199999999999998</v>
      </c>
      <c r="F71">
        <v>2320000</v>
      </c>
    </row>
    <row r="72" spans="1:6" x14ac:dyDescent="0.25">
      <c r="A72">
        <v>5.49</v>
      </c>
      <c r="B72">
        <v>5490000</v>
      </c>
      <c r="E72">
        <v>2.34</v>
      </c>
      <c r="F72">
        <v>2340000</v>
      </c>
    </row>
    <row r="73" spans="1:6" x14ac:dyDescent="0.25">
      <c r="A73">
        <v>5.62</v>
      </c>
      <c r="B73">
        <v>5620000</v>
      </c>
      <c r="E73">
        <v>2.37</v>
      </c>
      <c r="F73">
        <v>2370000.0000000005</v>
      </c>
    </row>
    <row r="74" spans="1:6" x14ac:dyDescent="0.25">
      <c r="A74">
        <v>5.76</v>
      </c>
      <c r="B74">
        <v>5760000</v>
      </c>
      <c r="E74">
        <v>2.4</v>
      </c>
      <c r="F74">
        <v>2400000</v>
      </c>
    </row>
    <row r="75" spans="1:6" x14ac:dyDescent="0.25">
      <c r="A75">
        <v>5.9</v>
      </c>
      <c r="B75">
        <v>5900000</v>
      </c>
      <c r="E75">
        <v>2.4300000000000002</v>
      </c>
      <c r="F75">
        <v>2430000</v>
      </c>
    </row>
    <row r="76" spans="1:6" x14ac:dyDescent="0.25">
      <c r="A76">
        <v>6.04</v>
      </c>
      <c r="B76">
        <v>6040000</v>
      </c>
      <c r="E76">
        <v>2.46</v>
      </c>
      <c r="F76">
        <v>2460000</v>
      </c>
    </row>
    <row r="77" spans="1:6" x14ac:dyDescent="0.25">
      <c r="A77">
        <v>6.19</v>
      </c>
      <c r="B77">
        <v>6190000</v>
      </c>
      <c r="E77">
        <v>2.4900000000000002</v>
      </c>
      <c r="F77">
        <v>2490000.0000000005</v>
      </c>
    </row>
    <row r="78" spans="1:6" x14ac:dyDescent="0.25">
      <c r="A78">
        <v>6.34</v>
      </c>
      <c r="B78">
        <v>6340000</v>
      </c>
      <c r="E78">
        <v>2.52</v>
      </c>
      <c r="F78">
        <v>2520000</v>
      </c>
    </row>
    <row r="79" spans="1:6" x14ac:dyDescent="0.25">
      <c r="A79">
        <v>6.49</v>
      </c>
      <c r="B79">
        <v>6490000</v>
      </c>
      <c r="E79">
        <v>2.5499999999999998</v>
      </c>
      <c r="F79">
        <v>2550000</v>
      </c>
    </row>
    <row r="80" spans="1:6" x14ac:dyDescent="0.25">
      <c r="A80">
        <v>6.65</v>
      </c>
      <c r="B80">
        <v>6650000</v>
      </c>
      <c r="E80">
        <v>2.58</v>
      </c>
      <c r="F80">
        <v>2580000</v>
      </c>
    </row>
    <row r="81" spans="1:6" x14ac:dyDescent="0.25">
      <c r="A81">
        <v>6.81</v>
      </c>
      <c r="B81">
        <v>6810000</v>
      </c>
      <c r="E81">
        <v>2.61</v>
      </c>
      <c r="F81">
        <v>2610000</v>
      </c>
    </row>
    <row r="82" spans="1:6" x14ac:dyDescent="0.25">
      <c r="A82">
        <v>6.98</v>
      </c>
      <c r="B82">
        <v>6980000.0000000009</v>
      </c>
      <c r="E82">
        <v>2.64</v>
      </c>
      <c r="F82">
        <v>2640000</v>
      </c>
    </row>
    <row r="83" spans="1:6" x14ac:dyDescent="0.25">
      <c r="A83">
        <v>7.15</v>
      </c>
      <c r="B83">
        <v>7150000</v>
      </c>
      <c r="E83">
        <v>2.67</v>
      </c>
      <c r="F83">
        <v>2670000</v>
      </c>
    </row>
    <row r="84" spans="1:6" x14ac:dyDescent="0.25">
      <c r="A84">
        <v>7.32</v>
      </c>
      <c r="B84">
        <v>7320000</v>
      </c>
      <c r="E84">
        <v>2.71</v>
      </c>
      <c r="F84">
        <v>2710000</v>
      </c>
    </row>
    <row r="85" spans="1:6" x14ac:dyDescent="0.25">
      <c r="A85">
        <v>7.5</v>
      </c>
      <c r="B85">
        <v>7500000</v>
      </c>
      <c r="E85">
        <v>2.74</v>
      </c>
      <c r="F85">
        <v>2740000</v>
      </c>
    </row>
    <row r="86" spans="1:6" x14ac:dyDescent="0.25">
      <c r="A86">
        <v>7.68</v>
      </c>
      <c r="B86">
        <v>7680000</v>
      </c>
      <c r="E86">
        <v>2.77</v>
      </c>
      <c r="F86">
        <v>2770000</v>
      </c>
    </row>
    <row r="87" spans="1:6" x14ac:dyDescent="0.25">
      <c r="A87">
        <v>7.87</v>
      </c>
      <c r="B87">
        <v>7870000</v>
      </c>
      <c r="E87">
        <v>2.8</v>
      </c>
      <c r="F87">
        <v>2800000</v>
      </c>
    </row>
    <row r="88" spans="1:6" x14ac:dyDescent="0.25">
      <c r="A88">
        <v>8.06</v>
      </c>
      <c r="B88">
        <v>8060000.0000000009</v>
      </c>
      <c r="E88">
        <v>2.84</v>
      </c>
      <c r="F88">
        <v>2840000</v>
      </c>
    </row>
    <row r="89" spans="1:6" x14ac:dyDescent="0.25">
      <c r="A89">
        <v>8.25</v>
      </c>
      <c r="B89">
        <v>8250000</v>
      </c>
      <c r="E89">
        <v>2.87</v>
      </c>
      <c r="F89">
        <v>2870000</v>
      </c>
    </row>
    <row r="90" spans="1:6" x14ac:dyDescent="0.25">
      <c r="A90">
        <v>8.4499999999999993</v>
      </c>
      <c r="B90">
        <v>8450000</v>
      </c>
      <c r="E90">
        <v>2.91</v>
      </c>
      <c r="F90">
        <v>2910000</v>
      </c>
    </row>
    <row r="91" spans="1:6" x14ac:dyDescent="0.25">
      <c r="A91">
        <v>8.66</v>
      </c>
      <c r="B91">
        <v>8660000</v>
      </c>
      <c r="E91">
        <v>2.94</v>
      </c>
      <c r="F91">
        <v>2940000</v>
      </c>
    </row>
    <row r="92" spans="1:6" x14ac:dyDescent="0.25">
      <c r="A92">
        <v>8.8699999999999992</v>
      </c>
      <c r="B92">
        <v>8869999.9999999981</v>
      </c>
      <c r="E92">
        <v>2.98</v>
      </c>
      <c r="F92">
        <v>2980000</v>
      </c>
    </row>
    <row r="93" spans="1:6" x14ac:dyDescent="0.25">
      <c r="A93">
        <v>9.09</v>
      </c>
      <c r="B93">
        <v>9090000</v>
      </c>
      <c r="E93">
        <v>3.01</v>
      </c>
      <c r="F93">
        <v>3010000</v>
      </c>
    </row>
    <row r="94" spans="1:6" x14ac:dyDescent="0.25">
      <c r="A94">
        <v>9.31</v>
      </c>
      <c r="B94">
        <v>9310000.0000000019</v>
      </c>
      <c r="E94">
        <v>3.05</v>
      </c>
      <c r="F94">
        <v>3050000</v>
      </c>
    </row>
    <row r="95" spans="1:6" x14ac:dyDescent="0.25">
      <c r="A95">
        <v>9.5299999999999994</v>
      </c>
      <c r="B95">
        <v>9530000</v>
      </c>
      <c r="E95">
        <v>3.09</v>
      </c>
      <c r="F95">
        <v>3090000</v>
      </c>
    </row>
    <row r="96" spans="1:6" x14ac:dyDescent="0.25">
      <c r="A96">
        <v>9.76</v>
      </c>
      <c r="B96">
        <v>9760000</v>
      </c>
      <c r="E96">
        <v>3.12</v>
      </c>
      <c r="F96">
        <v>3120000</v>
      </c>
    </row>
    <row r="97" spans="1:6" x14ac:dyDescent="0.25">
      <c r="A97">
        <v>10</v>
      </c>
      <c r="E97">
        <v>3.16</v>
      </c>
      <c r="F97">
        <v>3160000</v>
      </c>
    </row>
    <row r="98" spans="1:6" x14ac:dyDescent="0.25">
      <c r="A98">
        <v>10.199999999999999</v>
      </c>
      <c r="E98">
        <v>3.2</v>
      </c>
      <c r="F98">
        <v>3200000</v>
      </c>
    </row>
    <row r="99" spans="1:6" x14ac:dyDescent="0.25">
      <c r="A99">
        <v>10.5</v>
      </c>
      <c r="E99">
        <v>3.24</v>
      </c>
      <c r="F99">
        <v>3240000.0000000005</v>
      </c>
    </row>
    <row r="100" spans="1:6" x14ac:dyDescent="0.25">
      <c r="A100">
        <v>10.700000000000001</v>
      </c>
      <c r="E100">
        <v>3.28</v>
      </c>
      <c r="F100">
        <v>3280000</v>
      </c>
    </row>
    <row r="101" spans="1:6" x14ac:dyDescent="0.25">
      <c r="A101">
        <v>11</v>
      </c>
      <c r="E101">
        <v>3.32</v>
      </c>
      <c r="F101">
        <v>3319999.9999999995</v>
      </c>
    </row>
    <row r="102" spans="1:6" x14ac:dyDescent="0.25">
      <c r="A102">
        <v>11.299999999999999</v>
      </c>
      <c r="E102">
        <v>3.36</v>
      </c>
      <c r="F102">
        <v>3360000</v>
      </c>
    </row>
    <row r="103" spans="1:6" x14ac:dyDescent="0.25">
      <c r="A103">
        <v>11.5</v>
      </c>
      <c r="E103">
        <v>3.4</v>
      </c>
      <c r="F103">
        <v>3400000</v>
      </c>
    </row>
    <row r="104" spans="1:6" x14ac:dyDescent="0.25">
      <c r="A104">
        <v>11.799999999999999</v>
      </c>
      <c r="E104">
        <v>3.44</v>
      </c>
      <c r="F104">
        <v>3440000</v>
      </c>
    </row>
    <row r="105" spans="1:6" x14ac:dyDescent="0.25">
      <c r="A105">
        <v>12.1</v>
      </c>
      <c r="E105">
        <v>3.48</v>
      </c>
      <c r="F105">
        <v>3480000</v>
      </c>
    </row>
    <row r="106" spans="1:6" x14ac:dyDescent="0.25">
      <c r="A106">
        <v>12.4</v>
      </c>
      <c r="E106">
        <v>3.52</v>
      </c>
      <c r="F106">
        <v>3520000</v>
      </c>
    </row>
    <row r="107" spans="1:6" x14ac:dyDescent="0.25">
      <c r="A107">
        <v>12.7</v>
      </c>
      <c r="E107">
        <v>3.57</v>
      </c>
      <c r="F107">
        <v>3569999.9999999995</v>
      </c>
    </row>
    <row r="108" spans="1:6" x14ac:dyDescent="0.25">
      <c r="A108">
        <v>13</v>
      </c>
      <c r="E108">
        <v>3.61</v>
      </c>
      <c r="F108">
        <v>3610000</v>
      </c>
    </row>
    <row r="109" spans="1:6" x14ac:dyDescent="0.25">
      <c r="A109">
        <v>13.3</v>
      </c>
      <c r="E109">
        <v>3.65</v>
      </c>
      <c r="F109">
        <v>3650000</v>
      </c>
    </row>
    <row r="110" spans="1:6" x14ac:dyDescent="0.25">
      <c r="A110">
        <v>13.700000000000001</v>
      </c>
      <c r="E110">
        <v>3.7</v>
      </c>
      <c r="F110">
        <v>3700000</v>
      </c>
    </row>
    <row r="111" spans="1:6" x14ac:dyDescent="0.25">
      <c r="A111">
        <v>14</v>
      </c>
      <c r="E111">
        <v>3.74</v>
      </c>
      <c r="F111">
        <v>3740000.0000000005</v>
      </c>
    </row>
    <row r="112" spans="1:6" x14ac:dyDescent="0.25">
      <c r="A112">
        <v>14.299999999999999</v>
      </c>
      <c r="E112">
        <v>3.79</v>
      </c>
      <c r="F112">
        <v>3790000</v>
      </c>
    </row>
    <row r="113" spans="1:6" x14ac:dyDescent="0.25">
      <c r="A113">
        <v>14.7</v>
      </c>
      <c r="E113">
        <v>3.83</v>
      </c>
      <c r="F113">
        <v>3830000</v>
      </c>
    </row>
    <row r="114" spans="1:6" x14ac:dyDescent="0.25">
      <c r="A114">
        <v>15</v>
      </c>
      <c r="E114">
        <v>3.88</v>
      </c>
      <c r="F114">
        <v>3880000</v>
      </c>
    </row>
    <row r="115" spans="1:6" x14ac:dyDescent="0.25">
      <c r="A115">
        <v>15.4</v>
      </c>
      <c r="E115">
        <v>3.92</v>
      </c>
      <c r="F115">
        <v>3920000</v>
      </c>
    </row>
    <row r="116" spans="1:6" x14ac:dyDescent="0.25">
      <c r="A116">
        <v>15.8</v>
      </c>
      <c r="E116">
        <v>3.97</v>
      </c>
      <c r="F116">
        <v>3970000</v>
      </c>
    </row>
    <row r="117" spans="1:6" x14ac:dyDescent="0.25">
      <c r="A117">
        <v>16.200000000000003</v>
      </c>
      <c r="E117">
        <v>4.0199999999999996</v>
      </c>
      <c r="F117">
        <v>4019999.9999999995</v>
      </c>
    </row>
    <row r="118" spans="1:6" x14ac:dyDescent="0.25">
      <c r="A118">
        <v>16.5</v>
      </c>
      <c r="E118">
        <v>4.07</v>
      </c>
      <c r="F118">
        <v>4070000</v>
      </c>
    </row>
    <row r="119" spans="1:6" x14ac:dyDescent="0.25">
      <c r="A119">
        <v>16.899999999999999</v>
      </c>
      <c r="E119">
        <v>4.12</v>
      </c>
      <c r="F119">
        <v>4120000</v>
      </c>
    </row>
    <row r="120" spans="1:6" x14ac:dyDescent="0.25">
      <c r="A120">
        <v>17.399999999999999</v>
      </c>
      <c r="E120">
        <v>4.17</v>
      </c>
      <c r="F120">
        <v>4170000</v>
      </c>
    </row>
    <row r="121" spans="1:6" x14ac:dyDescent="0.25">
      <c r="A121">
        <v>17.8</v>
      </c>
      <c r="E121">
        <v>4.22</v>
      </c>
      <c r="F121">
        <v>4219999.9999999991</v>
      </c>
    </row>
    <row r="122" spans="1:6" x14ac:dyDescent="0.25">
      <c r="A122">
        <v>18.2</v>
      </c>
      <c r="E122">
        <v>4.2699999999999996</v>
      </c>
      <c r="F122">
        <v>4269999.9999999991</v>
      </c>
    </row>
    <row r="123" spans="1:6" x14ac:dyDescent="0.25">
      <c r="A123">
        <v>18.700000000000003</v>
      </c>
      <c r="E123">
        <v>4.32</v>
      </c>
      <c r="F123">
        <v>4320000</v>
      </c>
    </row>
    <row r="124" spans="1:6" x14ac:dyDescent="0.25">
      <c r="A124">
        <v>19.099999999999998</v>
      </c>
      <c r="E124">
        <v>4.37</v>
      </c>
      <c r="F124">
        <v>4370000</v>
      </c>
    </row>
    <row r="125" spans="1:6" x14ac:dyDescent="0.25">
      <c r="A125">
        <v>19.600000000000001</v>
      </c>
      <c r="E125">
        <v>4.42</v>
      </c>
      <c r="F125">
        <v>4420000</v>
      </c>
    </row>
    <row r="126" spans="1:6" x14ac:dyDescent="0.25">
      <c r="A126">
        <v>20</v>
      </c>
      <c r="E126">
        <v>4.4800000000000004</v>
      </c>
      <c r="F126">
        <v>4480000.0000000009</v>
      </c>
    </row>
    <row r="127" spans="1:6" x14ac:dyDescent="0.25">
      <c r="A127">
        <v>20.5</v>
      </c>
      <c r="E127">
        <v>4.53</v>
      </c>
      <c r="F127">
        <v>4530000.0000000009</v>
      </c>
    </row>
    <row r="128" spans="1:6" x14ac:dyDescent="0.25">
      <c r="A128">
        <v>21</v>
      </c>
      <c r="E128">
        <v>4.59</v>
      </c>
      <c r="F128">
        <v>4590000</v>
      </c>
    </row>
    <row r="129" spans="1:6" x14ac:dyDescent="0.25">
      <c r="A129">
        <v>21.5</v>
      </c>
      <c r="E129">
        <v>4.6399999999999997</v>
      </c>
      <c r="F129">
        <v>4640000</v>
      </c>
    </row>
    <row r="130" spans="1:6" x14ac:dyDescent="0.25">
      <c r="A130">
        <v>22.1</v>
      </c>
      <c r="E130">
        <v>4.7</v>
      </c>
      <c r="F130">
        <v>4700000</v>
      </c>
    </row>
    <row r="131" spans="1:6" x14ac:dyDescent="0.25">
      <c r="A131">
        <v>22.599999999999998</v>
      </c>
      <c r="E131">
        <v>4.75</v>
      </c>
      <c r="F131">
        <v>4750000</v>
      </c>
    </row>
    <row r="132" spans="1:6" x14ac:dyDescent="0.25">
      <c r="A132">
        <v>23.2</v>
      </c>
      <c r="E132">
        <v>4.8099999999999996</v>
      </c>
      <c r="F132">
        <v>4809999.9999999991</v>
      </c>
    </row>
    <row r="133" spans="1:6" x14ac:dyDescent="0.25">
      <c r="A133">
        <v>23.700000000000003</v>
      </c>
      <c r="E133">
        <v>4.87</v>
      </c>
      <c r="F133">
        <v>4870000</v>
      </c>
    </row>
    <row r="134" spans="1:6" x14ac:dyDescent="0.25">
      <c r="A134">
        <v>24.3</v>
      </c>
      <c r="E134">
        <v>4.93</v>
      </c>
      <c r="F134">
        <v>4930000</v>
      </c>
    </row>
    <row r="135" spans="1:6" x14ac:dyDescent="0.25">
      <c r="A135">
        <v>24.900000000000002</v>
      </c>
      <c r="E135">
        <v>4.99</v>
      </c>
      <c r="F135">
        <v>4990000.0000000009</v>
      </c>
    </row>
    <row r="136" spans="1:6" x14ac:dyDescent="0.25">
      <c r="A136">
        <v>25.5</v>
      </c>
      <c r="E136">
        <v>5.05</v>
      </c>
      <c r="F136">
        <v>5050000</v>
      </c>
    </row>
    <row r="137" spans="1:6" x14ac:dyDescent="0.25">
      <c r="A137">
        <v>26.099999999999998</v>
      </c>
      <c r="E137">
        <v>5.1100000000000003</v>
      </c>
      <c r="F137">
        <v>5110000</v>
      </c>
    </row>
    <row r="138" spans="1:6" x14ac:dyDescent="0.25">
      <c r="A138">
        <v>26.7</v>
      </c>
      <c r="E138">
        <v>5.17</v>
      </c>
      <c r="F138">
        <v>5170000</v>
      </c>
    </row>
    <row r="139" spans="1:6" x14ac:dyDescent="0.25">
      <c r="A139">
        <v>27.400000000000002</v>
      </c>
      <c r="E139">
        <v>5.23</v>
      </c>
      <c r="F139">
        <v>5230000</v>
      </c>
    </row>
    <row r="140" spans="1:6" x14ac:dyDescent="0.25">
      <c r="A140">
        <v>28</v>
      </c>
      <c r="E140">
        <v>5.3</v>
      </c>
      <c r="F140">
        <v>5300000</v>
      </c>
    </row>
    <row r="141" spans="1:6" x14ac:dyDescent="0.25">
      <c r="A141">
        <v>28.700000000000003</v>
      </c>
      <c r="E141">
        <v>5.36</v>
      </c>
      <c r="F141">
        <v>5360000</v>
      </c>
    </row>
    <row r="142" spans="1:6" x14ac:dyDescent="0.25">
      <c r="A142">
        <v>29.4</v>
      </c>
      <c r="E142">
        <v>5.42</v>
      </c>
      <c r="F142">
        <v>5420000</v>
      </c>
    </row>
    <row r="143" spans="1:6" x14ac:dyDescent="0.25">
      <c r="A143">
        <v>30.099999999999998</v>
      </c>
      <c r="E143">
        <v>5.49</v>
      </c>
      <c r="F143">
        <v>5490000</v>
      </c>
    </row>
    <row r="144" spans="1:6" x14ac:dyDescent="0.25">
      <c r="A144">
        <v>30.9</v>
      </c>
      <c r="E144">
        <v>5.56</v>
      </c>
      <c r="F144">
        <v>5560000</v>
      </c>
    </row>
    <row r="145" spans="1:6" x14ac:dyDescent="0.25">
      <c r="A145">
        <v>31.6</v>
      </c>
      <c r="E145">
        <v>5.62</v>
      </c>
      <c r="F145">
        <v>5620000</v>
      </c>
    </row>
    <row r="146" spans="1:6" x14ac:dyDescent="0.25">
      <c r="A146">
        <v>32.400000000000006</v>
      </c>
      <c r="E146">
        <v>5.69</v>
      </c>
      <c r="F146">
        <v>5690000</v>
      </c>
    </row>
    <row r="147" spans="1:6" x14ac:dyDescent="0.25">
      <c r="A147">
        <v>33.199999999999996</v>
      </c>
      <c r="E147">
        <v>5.76</v>
      </c>
      <c r="F147">
        <v>5760000</v>
      </c>
    </row>
    <row r="148" spans="1:6" x14ac:dyDescent="0.25">
      <c r="A148">
        <v>34</v>
      </c>
      <c r="E148">
        <v>5.83</v>
      </c>
      <c r="F148">
        <v>5830000</v>
      </c>
    </row>
    <row r="149" spans="1:6" x14ac:dyDescent="0.25">
      <c r="A149">
        <v>34.799999999999997</v>
      </c>
      <c r="E149">
        <v>5.9</v>
      </c>
      <c r="F149">
        <v>5900000</v>
      </c>
    </row>
    <row r="150" spans="1:6" x14ac:dyDescent="0.25">
      <c r="A150">
        <v>35.699999999999996</v>
      </c>
      <c r="E150">
        <v>5.97</v>
      </c>
      <c r="F150">
        <v>5970000</v>
      </c>
    </row>
    <row r="151" spans="1:6" x14ac:dyDescent="0.25">
      <c r="A151">
        <v>36.5</v>
      </c>
      <c r="E151">
        <v>6.04</v>
      </c>
      <c r="F151">
        <v>6040000</v>
      </c>
    </row>
    <row r="152" spans="1:6" x14ac:dyDescent="0.25">
      <c r="A152">
        <v>37.400000000000006</v>
      </c>
      <c r="E152">
        <v>6.12</v>
      </c>
      <c r="F152">
        <v>6120000</v>
      </c>
    </row>
    <row r="153" spans="1:6" x14ac:dyDescent="0.25">
      <c r="A153">
        <v>38.299999999999997</v>
      </c>
      <c r="E153">
        <v>6.19</v>
      </c>
      <c r="F153">
        <v>6190000</v>
      </c>
    </row>
    <row r="154" spans="1:6" x14ac:dyDescent="0.25">
      <c r="A154">
        <v>39.200000000000003</v>
      </c>
      <c r="E154">
        <v>6.26</v>
      </c>
      <c r="F154">
        <v>6260000</v>
      </c>
    </row>
    <row r="155" spans="1:6" x14ac:dyDescent="0.25">
      <c r="A155">
        <v>40.199999999999996</v>
      </c>
      <c r="E155">
        <v>6.34</v>
      </c>
      <c r="F155">
        <v>6340000</v>
      </c>
    </row>
    <row r="156" spans="1:6" x14ac:dyDescent="0.25">
      <c r="A156">
        <v>41.2</v>
      </c>
      <c r="E156">
        <v>6.42</v>
      </c>
      <c r="F156">
        <v>6420000</v>
      </c>
    </row>
    <row r="157" spans="1:6" x14ac:dyDescent="0.25">
      <c r="A157">
        <v>42.199999999999996</v>
      </c>
      <c r="E157">
        <v>6.49</v>
      </c>
      <c r="F157">
        <v>6490000</v>
      </c>
    </row>
    <row r="158" spans="1:6" x14ac:dyDescent="0.25">
      <c r="A158">
        <v>43.2</v>
      </c>
      <c r="E158">
        <v>6.57</v>
      </c>
      <c r="F158">
        <v>6570000</v>
      </c>
    </row>
    <row r="159" spans="1:6" x14ac:dyDescent="0.25">
      <c r="A159">
        <v>44.2</v>
      </c>
      <c r="E159">
        <v>6.65</v>
      </c>
      <c r="F159">
        <v>6650000</v>
      </c>
    </row>
    <row r="160" spans="1:6" x14ac:dyDescent="0.25">
      <c r="A160">
        <v>45.300000000000004</v>
      </c>
      <c r="E160">
        <v>6.73</v>
      </c>
      <c r="F160">
        <v>6730000.0000000009</v>
      </c>
    </row>
    <row r="161" spans="1:6" x14ac:dyDescent="0.25">
      <c r="A161">
        <v>46.4</v>
      </c>
      <c r="E161">
        <v>6.81</v>
      </c>
      <c r="F161">
        <v>6810000</v>
      </c>
    </row>
    <row r="162" spans="1:6" x14ac:dyDescent="0.25">
      <c r="A162">
        <v>47.5</v>
      </c>
      <c r="E162">
        <v>6.9</v>
      </c>
      <c r="F162">
        <v>6900000</v>
      </c>
    </row>
    <row r="163" spans="1:6" x14ac:dyDescent="0.25">
      <c r="A163">
        <v>48.7</v>
      </c>
      <c r="E163">
        <v>6.98</v>
      </c>
      <c r="F163">
        <v>6980000.0000000009</v>
      </c>
    </row>
    <row r="164" spans="1:6" x14ac:dyDescent="0.25">
      <c r="A164">
        <v>49.900000000000006</v>
      </c>
      <c r="E164">
        <v>7.06</v>
      </c>
      <c r="F164">
        <v>7060000</v>
      </c>
    </row>
    <row r="165" spans="1:6" x14ac:dyDescent="0.25">
      <c r="A165">
        <v>51.1</v>
      </c>
      <c r="E165">
        <v>7.15</v>
      </c>
      <c r="F165">
        <v>7150000</v>
      </c>
    </row>
    <row r="166" spans="1:6" x14ac:dyDescent="0.25">
      <c r="A166">
        <v>52.300000000000004</v>
      </c>
      <c r="E166">
        <v>7.23</v>
      </c>
      <c r="F166">
        <v>7230000.0000000009</v>
      </c>
    </row>
    <row r="167" spans="1:6" x14ac:dyDescent="0.25">
      <c r="A167">
        <v>53.6</v>
      </c>
      <c r="E167">
        <v>7.32</v>
      </c>
      <c r="F167">
        <v>7320000</v>
      </c>
    </row>
    <row r="168" spans="1:6" x14ac:dyDescent="0.25">
      <c r="A168">
        <v>54.900000000000006</v>
      </c>
      <c r="E168">
        <v>7.41</v>
      </c>
      <c r="F168">
        <v>7410000</v>
      </c>
    </row>
    <row r="169" spans="1:6" x14ac:dyDescent="0.25">
      <c r="A169">
        <v>56.2</v>
      </c>
      <c r="E169">
        <v>7.5</v>
      </c>
      <c r="F169">
        <v>7500000</v>
      </c>
    </row>
    <row r="170" spans="1:6" x14ac:dyDescent="0.25">
      <c r="A170">
        <v>57.599999999999994</v>
      </c>
      <c r="E170">
        <v>7.59</v>
      </c>
      <c r="F170">
        <v>7590000</v>
      </c>
    </row>
    <row r="171" spans="1:6" x14ac:dyDescent="0.25">
      <c r="A171">
        <v>59</v>
      </c>
      <c r="E171">
        <v>7.68</v>
      </c>
      <c r="F171">
        <v>7680000</v>
      </c>
    </row>
    <row r="172" spans="1:6" x14ac:dyDescent="0.25">
      <c r="A172">
        <v>60.4</v>
      </c>
      <c r="E172">
        <v>7.77</v>
      </c>
      <c r="F172">
        <v>7769999.9999999991</v>
      </c>
    </row>
    <row r="173" spans="1:6" x14ac:dyDescent="0.25">
      <c r="A173">
        <v>61.900000000000006</v>
      </c>
      <c r="E173">
        <v>7.87</v>
      </c>
      <c r="F173">
        <v>7870000</v>
      </c>
    </row>
    <row r="174" spans="1:6" x14ac:dyDescent="0.25">
      <c r="A174">
        <v>63.4</v>
      </c>
      <c r="E174">
        <v>7.96</v>
      </c>
      <c r="F174">
        <v>7960000</v>
      </c>
    </row>
    <row r="175" spans="1:6" x14ac:dyDescent="0.25">
      <c r="A175">
        <v>64.900000000000006</v>
      </c>
      <c r="E175">
        <v>8.06</v>
      </c>
      <c r="F175">
        <v>8060000.0000000009</v>
      </c>
    </row>
    <row r="176" spans="1:6" x14ac:dyDescent="0.25">
      <c r="A176">
        <v>66.5</v>
      </c>
      <c r="E176">
        <v>8.16</v>
      </c>
      <c r="F176">
        <v>8160000</v>
      </c>
    </row>
    <row r="177" spans="1:6" x14ac:dyDescent="0.25">
      <c r="A177">
        <v>68.099999999999994</v>
      </c>
      <c r="E177">
        <v>8.25</v>
      </c>
      <c r="F177">
        <v>8250000</v>
      </c>
    </row>
    <row r="178" spans="1:6" x14ac:dyDescent="0.25">
      <c r="A178">
        <v>69.800000000000011</v>
      </c>
      <c r="E178">
        <v>8.35</v>
      </c>
      <c r="F178">
        <v>8350000</v>
      </c>
    </row>
    <row r="179" spans="1:6" x14ac:dyDescent="0.25">
      <c r="A179">
        <v>71.5</v>
      </c>
      <c r="E179">
        <v>8.4499999999999993</v>
      </c>
      <c r="F179">
        <v>8450000</v>
      </c>
    </row>
    <row r="180" spans="1:6" x14ac:dyDescent="0.25">
      <c r="A180">
        <v>73.2</v>
      </c>
      <c r="E180">
        <v>8.56</v>
      </c>
      <c r="F180">
        <v>8560000.0000000019</v>
      </c>
    </row>
    <row r="181" spans="1:6" x14ac:dyDescent="0.25">
      <c r="A181">
        <v>75</v>
      </c>
      <c r="E181">
        <v>8.66</v>
      </c>
      <c r="F181">
        <v>8660000</v>
      </c>
    </row>
    <row r="182" spans="1:6" x14ac:dyDescent="0.25">
      <c r="A182">
        <v>76.8</v>
      </c>
      <c r="E182">
        <v>8.76</v>
      </c>
      <c r="F182">
        <v>8760000</v>
      </c>
    </row>
    <row r="183" spans="1:6" x14ac:dyDescent="0.25">
      <c r="A183">
        <v>78.7</v>
      </c>
      <c r="E183">
        <v>8.8699999999999992</v>
      </c>
      <c r="F183">
        <v>8869999.9999999981</v>
      </c>
    </row>
    <row r="184" spans="1:6" x14ac:dyDescent="0.25">
      <c r="A184">
        <v>80.600000000000009</v>
      </c>
      <c r="E184">
        <v>8.98</v>
      </c>
      <c r="F184">
        <v>8980000.0000000019</v>
      </c>
    </row>
    <row r="185" spans="1:6" x14ac:dyDescent="0.25">
      <c r="A185">
        <v>82.5</v>
      </c>
      <c r="E185">
        <v>9.09</v>
      </c>
      <c r="F185">
        <v>9090000</v>
      </c>
    </row>
    <row r="186" spans="1:6" x14ac:dyDescent="0.25">
      <c r="A186">
        <v>84.5</v>
      </c>
      <c r="E186">
        <v>9.1999999999999993</v>
      </c>
      <c r="F186">
        <v>9200000</v>
      </c>
    </row>
    <row r="187" spans="1:6" x14ac:dyDescent="0.25">
      <c r="A187">
        <v>86.6</v>
      </c>
      <c r="E187">
        <v>9.31</v>
      </c>
      <c r="F187">
        <v>9310000.0000000019</v>
      </c>
    </row>
    <row r="188" spans="1:6" x14ac:dyDescent="0.25">
      <c r="A188">
        <v>88.699999999999989</v>
      </c>
      <c r="E188">
        <v>9.42</v>
      </c>
      <c r="F188">
        <v>9420000</v>
      </c>
    </row>
    <row r="189" spans="1:6" x14ac:dyDescent="0.25">
      <c r="A189">
        <v>90.9</v>
      </c>
      <c r="E189">
        <v>9.5299999999999994</v>
      </c>
      <c r="F189">
        <v>9530000</v>
      </c>
    </row>
    <row r="190" spans="1:6" x14ac:dyDescent="0.25">
      <c r="A190">
        <v>93.100000000000009</v>
      </c>
      <c r="E190">
        <v>9.65</v>
      </c>
      <c r="F190">
        <v>9650000</v>
      </c>
    </row>
    <row r="191" spans="1:6" x14ac:dyDescent="0.25">
      <c r="A191">
        <v>95.3</v>
      </c>
      <c r="E191">
        <v>9.76</v>
      </c>
      <c r="F191">
        <v>9760000</v>
      </c>
    </row>
    <row r="192" spans="1:6" x14ac:dyDescent="0.25">
      <c r="A192">
        <v>97.6</v>
      </c>
      <c r="E192">
        <v>9.8800000000000008</v>
      </c>
      <c r="F192">
        <v>9880000.0000000019</v>
      </c>
    </row>
    <row r="193" spans="1:5" x14ac:dyDescent="0.25">
      <c r="A193">
        <v>100</v>
      </c>
      <c r="E193">
        <v>10</v>
      </c>
    </row>
    <row r="194" spans="1:5" x14ac:dyDescent="0.25">
      <c r="A194">
        <v>102</v>
      </c>
      <c r="E194">
        <v>10.1</v>
      </c>
    </row>
    <row r="195" spans="1:5" x14ac:dyDescent="0.25">
      <c r="A195">
        <v>105</v>
      </c>
      <c r="E195">
        <v>10.199999999999999</v>
      </c>
    </row>
    <row r="196" spans="1:5" x14ac:dyDescent="0.25">
      <c r="A196">
        <v>107.00000000000001</v>
      </c>
      <c r="E196">
        <v>10.4</v>
      </c>
    </row>
    <row r="197" spans="1:5" x14ac:dyDescent="0.25">
      <c r="A197">
        <v>110</v>
      </c>
      <c r="E197">
        <v>10.5</v>
      </c>
    </row>
    <row r="198" spans="1:5" x14ac:dyDescent="0.25">
      <c r="A198">
        <v>112.99999999999999</v>
      </c>
      <c r="E198">
        <v>10.600000000000001</v>
      </c>
    </row>
    <row r="199" spans="1:5" x14ac:dyDescent="0.25">
      <c r="A199">
        <v>115</v>
      </c>
      <c r="E199">
        <v>10.700000000000001</v>
      </c>
    </row>
    <row r="200" spans="1:5" x14ac:dyDescent="0.25">
      <c r="A200">
        <v>117.99999999999999</v>
      </c>
      <c r="E200">
        <v>10.9</v>
      </c>
    </row>
    <row r="201" spans="1:5" x14ac:dyDescent="0.25">
      <c r="A201">
        <v>121</v>
      </c>
      <c r="E201">
        <v>11</v>
      </c>
    </row>
    <row r="202" spans="1:5" x14ac:dyDescent="0.25">
      <c r="A202">
        <v>124</v>
      </c>
      <c r="E202">
        <v>11.100000000000001</v>
      </c>
    </row>
    <row r="203" spans="1:5" x14ac:dyDescent="0.25">
      <c r="A203">
        <v>127</v>
      </c>
      <c r="E203">
        <v>11.299999999999999</v>
      </c>
    </row>
    <row r="204" spans="1:5" x14ac:dyDescent="0.25">
      <c r="A204">
        <v>130</v>
      </c>
      <c r="E204">
        <v>11.399999999999999</v>
      </c>
    </row>
    <row r="205" spans="1:5" x14ac:dyDescent="0.25">
      <c r="A205">
        <v>133</v>
      </c>
      <c r="E205">
        <v>11.5</v>
      </c>
    </row>
    <row r="206" spans="1:5" x14ac:dyDescent="0.25">
      <c r="A206">
        <v>137</v>
      </c>
      <c r="E206">
        <v>11.7</v>
      </c>
    </row>
    <row r="207" spans="1:5" x14ac:dyDescent="0.25">
      <c r="A207">
        <v>140</v>
      </c>
      <c r="E207">
        <v>11.799999999999999</v>
      </c>
    </row>
    <row r="208" spans="1:5" x14ac:dyDescent="0.25">
      <c r="A208">
        <v>143</v>
      </c>
      <c r="E208">
        <v>12</v>
      </c>
    </row>
    <row r="209" spans="1:5" x14ac:dyDescent="0.25">
      <c r="A209">
        <v>147</v>
      </c>
      <c r="E209">
        <v>12.1</v>
      </c>
    </row>
    <row r="210" spans="1:5" x14ac:dyDescent="0.25">
      <c r="A210">
        <v>150</v>
      </c>
      <c r="E210">
        <v>12.3</v>
      </c>
    </row>
    <row r="211" spans="1:5" x14ac:dyDescent="0.25">
      <c r="A211">
        <v>154</v>
      </c>
      <c r="E211">
        <v>12.4</v>
      </c>
    </row>
    <row r="212" spans="1:5" x14ac:dyDescent="0.25">
      <c r="A212">
        <v>158</v>
      </c>
      <c r="E212">
        <v>12.6</v>
      </c>
    </row>
    <row r="213" spans="1:5" x14ac:dyDescent="0.25">
      <c r="A213">
        <v>162.00000000000003</v>
      </c>
      <c r="E213">
        <v>12.7</v>
      </c>
    </row>
    <row r="214" spans="1:5" x14ac:dyDescent="0.25">
      <c r="A214">
        <v>165</v>
      </c>
      <c r="E214">
        <v>12.9</v>
      </c>
    </row>
    <row r="215" spans="1:5" x14ac:dyDescent="0.25">
      <c r="A215">
        <v>169</v>
      </c>
      <c r="E215">
        <v>13</v>
      </c>
    </row>
    <row r="216" spans="1:5" x14ac:dyDescent="0.25">
      <c r="A216">
        <v>174</v>
      </c>
      <c r="E216">
        <v>13.200000000000001</v>
      </c>
    </row>
    <row r="217" spans="1:5" x14ac:dyDescent="0.25">
      <c r="A217">
        <v>178</v>
      </c>
      <c r="E217">
        <v>13.3</v>
      </c>
    </row>
    <row r="218" spans="1:5" x14ac:dyDescent="0.25">
      <c r="A218">
        <v>182</v>
      </c>
      <c r="E218">
        <v>13.5</v>
      </c>
    </row>
    <row r="219" spans="1:5" x14ac:dyDescent="0.25">
      <c r="A219">
        <v>187.00000000000003</v>
      </c>
      <c r="E219">
        <v>13.700000000000001</v>
      </c>
    </row>
    <row r="220" spans="1:5" x14ac:dyDescent="0.25">
      <c r="A220">
        <v>190.99999999999997</v>
      </c>
      <c r="E220">
        <v>13.799999999999999</v>
      </c>
    </row>
    <row r="221" spans="1:5" x14ac:dyDescent="0.25">
      <c r="A221">
        <v>196</v>
      </c>
      <c r="E221">
        <v>14</v>
      </c>
    </row>
    <row r="222" spans="1:5" x14ac:dyDescent="0.25">
      <c r="A222">
        <v>200</v>
      </c>
      <c r="E222">
        <v>14.2</v>
      </c>
    </row>
    <row r="223" spans="1:5" x14ac:dyDescent="0.25">
      <c r="A223">
        <v>205</v>
      </c>
      <c r="E223">
        <v>14.299999999999999</v>
      </c>
    </row>
    <row r="224" spans="1:5" x14ac:dyDescent="0.25">
      <c r="A224">
        <v>210</v>
      </c>
      <c r="E224">
        <v>14.5</v>
      </c>
    </row>
    <row r="225" spans="1:5" x14ac:dyDescent="0.25">
      <c r="A225">
        <v>215</v>
      </c>
      <c r="E225">
        <v>14.7</v>
      </c>
    </row>
    <row r="226" spans="1:5" x14ac:dyDescent="0.25">
      <c r="A226">
        <v>221</v>
      </c>
      <c r="E226">
        <v>14.9</v>
      </c>
    </row>
    <row r="227" spans="1:5" x14ac:dyDescent="0.25">
      <c r="A227">
        <v>225.99999999999997</v>
      </c>
      <c r="E227">
        <v>15</v>
      </c>
    </row>
    <row r="228" spans="1:5" x14ac:dyDescent="0.25">
      <c r="A228">
        <v>232</v>
      </c>
      <c r="E228">
        <v>15.2</v>
      </c>
    </row>
    <row r="229" spans="1:5" x14ac:dyDescent="0.25">
      <c r="A229">
        <v>237.00000000000003</v>
      </c>
      <c r="E229">
        <v>15.4</v>
      </c>
    </row>
    <row r="230" spans="1:5" x14ac:dyDescent="0.25">
      <c r="A230">
        <v>243</v>
      </c>
      <c r="E230">
        <v>15.600000000000001</v>
      </c>
    </row>
    <row r="231" spans="1:5" x14ac:dyDescent="0.25">
      <c r="A231">
        <v>249.00000000000003</v>
      </c>
      <c r="E231">
        <v>15.8</v>
      </c>
    </row>
    <row r="232" spans="1:5" x14ac:dyDescent="0.25">
      <c r="A232">
        <v>255</v>
      </c>
      <c r="E232">
        <v>16</v>
      </c>
    </row>
    <row r="233" spans="1:5" x14ac:dyDescent="0.25">
      <c r="A233">
        <v>261</v>
      </c>
      <c r="E233">
        <v>16.200000000000003</v>
      </c>
    </row>
    <row r="234" spans="1:5" x14ac:dyDescent="0.25">
      <c r="A234">
        <v>267</v>
      </c>
      <c r="E234">
        <v>16.399999999999999</v>
      </c>
    </row>
    <row r="235" spans="1:5" x14ac:dyDescent="0.25">
      <c r="A235">
        <v>274</v>
      </c>
      <c r="E235">
        <v>16.5</v>
      </c>
    </row>
    <row r="236" spans="1:5" x14ac:dyDescent="0.25">
      <c r="A236">
        <v>280</v>
      </c>
      <c r="E236">
        <v>16.7</v>
      </c>
    </row>
    <row r="237" spans="1:5" x14ac:dyDescent="0.25">
      <c r="A237">
        <v>287</v>
      </c>
      <c r="E237">
        <v>16.899999999999999</v>
      </c>
    </row>
    <row r="238" spans="1:5" x14ac:dyDescent="0.25">
      <c r="A238">
        <v>294</v>
      </c>
      <c r="E238">
        <v>17.2</v>
      </c>
    </row>
    <row r="239" spans="1:5" x14ac:dyDescent="0.25">
      <c r="A239">
        <v>301</v>
      </c>
      <c r="E239">
        <v>17.399999999999999</v>
      </c>
    </row>
    <row r="240" spans="1:5" x14ac:dyDescent="0.25">
      <c r="A240">
        <v>309</v>
      </c>
      <c r="E240">
        <v>17.600000000000001</v>
      </c>
    </row>
    <row r="241" spans="1:5" x14ac:dyDescent="0.25">
      <c r="A241">
        <v>316</v>
      </c>
      <c r="E241">
        <v>17.8</v>
      </c>
    </row>
    <row r="242" spans="1:5" x14ac:dyDescent="0.25">
      <c r="A242">
        <v>324.00000000000006</v>
      </c>
      <c r="E242">
        <v>18</v>
      </c>
    </row>
    <row r="243" spans="1:5" x14ac:dyDescent="0.25">
      <c r="A243">
        <v>331.99999999999994</v>
      </c>
      <c r="E243">
        <v>18.2</v>
      </c>
    </row>
    <row r="244" spans="1:5" x14ac:dyDescent="0.25">
      <c r="A244">
        <v>340</v>
      </c>
      <c r="E244">
        <v>18.400000000000002</v>
      </c>
    </row>
    <row r="245" spans="1:5" x14ac:dyDescent="0.25">
      <c r="A245">
        <v>348</v>
      </c>
      <c r="E245">
        <v>18.700000000000003</v>
      </c>
    </row>
    <row r="246" spans="1:5" x14ac:dyDescent="0.25">
      <c r="A246">
        <v>356.99999999999994</v>
      </c>
      <c r="E246">
        <v>18.899999999999999</v>
      </c>
    </row>
    <row r="247" spans="1:5" x14ac:dyDescent="0.25">
      <c r="A247">
        <v>365</v>
      </c>
      <c r="E247">
        <v>19.099999999999998</v>
      </c>
    </row>
    <row r="248" spans="1:5" x14ac:dyDescent="0.25">
      <c r="A248">
        <v>374.00000000000006</v>
      </c>
      <c r="E248">
        <v>19.3</v>
      </c>
    </row>
    <row r="249" spans="1:5" x14ac:dyDescent="0.25">
      <c r="A249">
        <v>383</v>
      </c>
      <c r="E249">
        <v>19.600000000000001</v>
      </c>
    </row>
    <row r="250" spans="1:5" x14ac:dyDescent="0.25">
      <c r="A250">
        <v>392</v>
      </c>
      <c r="E250">
        <v>19.8</v>
      </c>
    </row>
    <row r="251" spans="1:5" x14ac:dyDescent="0.25">
      <c r="A251">
        <v>401.99999999999994</v>
      </c>
      <c r="E251">
        <v>20</v>
      </c>
    </row>
    <row r="252" spans="1:5" x14ac:dyDescent="0.25">
      <c r="A252">
        <v>412</v>
      </c>
      <c r="E252">
        <v>20.299999999999997</v>
      </c>
    </row>
    <row r="253" spans="1:5" x14ac:dyDescent="0.25">
      <c r="A253">
        <v>421.99999999999994</v>
      </c>
      <c r="E253">
        <v>20.5</v>
      </c>
    </row>
    <row r="254" spans="1:5" x14ac:dyDescent="0.25">
      <c r="A254">
        <v>432</v>
      </c>
      <c r="E254">
        <v>20.8</v>
      </c>
    </row>
    <row r="255" spans="1:5" x14ac:dyDescent="0.25">
      <c r="A255">
        <v>442</v>
      </c>
      <c r="E255">
        <v>21</v>
      </c>
    </row>
    <row r="256" spans="1:5" x14ac:dyDescent="0.25">
      <c r="A256">
        <v>453.00000000000006</v>
      </c>
      <c r="E256">
        <v>21.299999999999997</v>
      </c>
    </row>
    <row r="257" spans="1:5" x14ac:dyDescent="0.25">
      <c r="A257">
        <v>464</v>
      </c>
      <c r="E257">
        <v>21.5</v>
      </c>
    </row>
    <row r="258" spans="1:5" x14ac:dyDescent="0.25">
      <c r="A258">
        <v>475</v>
      </c>
      <c r="E258">
        <v>21.8</v>
      </c>
    </row>
    <row r="259" spans="1:5" x14ac:dyDescent="0.25">
      <c r="A259">
        <v>487</v>
      </c>
      <c r="E259">
        <v>22.1</v>
      </c>
    </row>
    <row r="260" spans="1:5" x14ac:dyDescent="0.25">
      <c r="A260">
        <v>499.00000000000006</v>
      </c>
      <c r="E260">
        <v>22.3</v>
      </c>
    </row>
    <row r="261" spans="1:5" x14ac:dyDescent="0.25">
      <c r="A261">
        <v>511</v>
      </c>
      <c r="E261">
        <v>22.599999999999998</v>
      </c>
    </row>
    <row r="262" spans="1:5" x14ac:dyDescent="0.25">
      <c r="A262">
        <v>523</v>
      </c>
      <c r="E262">
        <v>22.9</v>
      </c>
    </row>
    <row r="263" spans="1:5" x14ac:dyDescent="0.25">
      <c r="A263">
        <v>536</v>
      </c>
      <c r="E263">
        <v>23.2</v>
      </c>
    </row>
    <row r="264" spans="1:5" x14ac:dyDescent="0.25">
      <c r="A264">
        <v>549</v>
      </c>
      <c r="E264">
        <v>23.4</v>
      </c>
    </row>
    <row r="265" spans="1:5" x14ac:dyDescent="0.25">
      <c r="A265">
        <v>562</v>
      </c>
      <c r="E265">
        <v>23.700000000000003</v>
      </c>
    </row>
    <row r="266" spans="1:5" x14ac:dyDescent="0.25">
      <c r="A266">
        <v>576</v>
      </c>
      <c r="E266">
        <v>24</v>
      </c>
    </row>
    <row r="267" spans="1:5" x14ac:dyDescent="0.25">
      <c r="A267">
        <v>590</v>
      </c>
      <c r="E267">
        <v>24.3</v>
      </c>
    </row>
    <row r="268" spans="1:5" x14ac:dyDescent="0.25">
      <c r="A268">
        <v>604</v>
      </c>
      <c r="E268">
        <v>24.6</v>
      </c>
    </row>
    <row r="269" spans="1:5" x14ac:dyDescent="0.25">
      <c r="A269">
        <v>619</v>
      </c>
      <c r="E269">
        <v>24.900000000000002</v>
      </c>
    </row>
    <row r="270" spans="1:5" x14ac:dyDescent="0.25">
      <c r="A270">
        <v>634</v>
      </c>
      <c r="E270">
        <v>25.2</v>
      </c>
    </row>
    <row r="271" spans="1:5" x14ac:dyDescent="0.25">
      <c r="A271">
        <v>649</v>
      </c>
      <c r="E271">
        <v>25.5</v>
      </c>
    </row>
    <row r="272" spans="1:5" x14ac:dyDescent="0.25">
      <c r="A272">
        <v>665</v>
      </c>
      <c r="E272">
        <v>25.8</v>
      </c>
    </row>
    <row r="273" spans="1:5" x14ac:dyDescent="0.25">
      <c r="A273">
        <v>681</v>
      </c>
      <c r="E273">
        <v>26.099999999999998</v>
      </c>
    </row>
    <row r="274" spans="1:5" x14ac:dyDescent="0.25">
      <c r="A274">
        <v>698.00000000000011</v>
      </c>
      <c r="E274">
        <v>26.400000000000002</v>
      </c>
    </row>
    <row r="275" spans="1:5" x14ac:dyDescent="0.25">
      <c r="A275">
        <v>715</v>
      </c>
      <c r="E275">
        <v>26.7</v>
      </c>
    </row>
    <row r="276" spans="1:5" x14ac:dyDescent="0.25">
      <c r="A276">
        <v>732</v>
      </c>
      <c r="E276">
        <v>27.1</v>
      </c>
    </row>
    <row r="277" spans="1:5" x14ac:dyDescent="0.25">
      <c r="A277">
        <v>750</v>
      </c>
      <c r="E277">
        <v>27.400000000000002</v>
      </c>
    </row>
    <row r="278" spans="1:5" x14ac:dyDescent="0.25">
      <c r="A278">
        <v>768</v>
      </c>
      <c r="E278">
        <v>27.7</v>
      </c>
    </row>
    <row r="279" spans="1:5" x14ac:dyDescent="0.25">
      <c r="A279">
        <v>787</v>
      </c>
      <c r="E279">
        <v>28</v>
      </c>
    </row>
    <row r="280" spans="1:5" x14ac:dyDescent="0.25">
      <c r="A280">
        <v>806.00000000000011</v>
      </c>
      <c r="E280">
        <v>28.4</v>
      </c>
    </row>
    <row r="281" spans="1:5" x14ac:dyDescent="0.25">
      <c r="A281">
        <v>825</v>
      </c>
      <c r="E281">
        <v>28.700000000000003</v>
      </c>
    </row>
    <row r="282" spans="1:5" x14ac:dyDescent="0.25">
      <c r="A282">
        <v>845</v>
      </c>
      <c r="E282">
        <v>29.1</v>
      </c>
    </row>
    <row r="283" spans="1:5" x14ac:dyDescent="0.25">
      <c r="A283">
        <v>866</v>
      </c>
      <c r="E283">
        <v>29.4</v>
      </c>
    </row>
    <row r="284" spans="1:5" x14ac:dyDescent="0.25">
      <c r="A284">
        <v>886.99999999999989</v>
      </c>
      <c r="E284">
        <v>29.8</v>
      </c>
    </row>
    <row r="285" spans="1:5" x14ac:dyDescent="0.25">
      <c r="A285">
        <v>909</v>
      </c>
      <c r="E285">
        <v>30.099999999999998</v>
      </c>
    </row>
    <row r="286" spans="1:5" x14ac:dyDescent="0.25">
      <c r="A286">
        <v>931.00000000000011</v>
      </c>
      <c r="E286">
        <v>30.5</v>
      </c>
    </row>
    <row r="287" spans="1:5" x14ac:dyDescent="0.25">
      <c r="A287">
        <v>953</v>
      </c>
      <c r="E287">
        <v>30.9</v>
      </c>
    </row>
    <row r="288" spans="1:5" x14ac:dyDescent="0.25">
      <c r="A288">
        <v>976</v>
      </c>
      <c r="E288">
        <v>31.200000000000003</v>
      </c>
    </row>
    <row r="289" spans="1:5" x14ac:dyDescent="0.25">
      <c r="A289">
        <v>1000</v>
      </c>
      <c r="E289">
        <v>31.6</v>
      </c>
    </row>
    <row r="290" spans="1:5" x14ac:dyDescent="0.25">
      <c r="A290">
        <v>1020</v>
      </c>
      <c r="E290">
        <v>32</v>
      </c>
    </row>
    <row r="291" spans="1:5" x14ac:dyDescent="0.25">
      <c r="A291">
        <v>1050</v>
      </c>
      <c r="E291">
        <v>32.400000000000006</v>
      </c>
    </row>
    <row r="292" spans="1:5" x14ac:dyDescent="0.25">
      <c r="A292">
        <v>1070.0000000000002</v>
      </c>
      <c r="E292">
        <v>32.799999999999997</v>
      </c>
    </row>
    <row r="293" spans="1:5" x14ac:dyDescent="0.25">
      <c r="A293">
        <v>1100</v>
      </c>
      <c r="E293">
        <v>33.199999999999996</v>
      </c>
    </row>
    <row r="294" spans="1:5" x14ac:dyDescent="0.25">
      <c r="A294">
        <v>1129.9999999999998</v>
      </c>
      <c r="E294">
        <v>33.6</v>
      </c>
    </row>
    <row r="295" spans="1:5" x14ac:dyDescent="0.25">
      <c r="A295">
        <v>1150</v>
      </c>
      <c r="E295">
        <v>34</v>
      </c>
    </row>
    <row r="296" spans="1:5" x14ac:dyDescent="0.25">
      <c r="A296">
        <v>1179.9999999999998</v>
      </c>
      <c r="E296">
        <v>34.4</v>
      </c>
    </row>
    <row r="297" spans="1:5" x14ac:dyDescent="0.25">
      <c r="A297">
        <v>1210</v>
      </c>
      <c r="E297">
        <v>34.799999999999997</v>
      </c>
    </row>
    <row r="298" spans="1:5" x14ac:dyDescent="0.25">
      <c r="A298">
        <v>1240</v>
      </c>
      <c r="E298">
        <v>35.200000000000003</v>
      </c>
    </row>
    <row r="299" spans="1:5" x14ac:dyDescent="0.25">
      <c r="A299">
        <v>1270</v>
      </c>
      <c r="E299">
        <v>35.699999999999996</v>
      </c>
    </row>
    <row r="300" spans="1:5" x14ac:dyDescent="0.25">
      <c r="A300">
        <v>1300</v>
      </c>
      <c r="E300">
        <v>36.1</v>
      </c>
    </row>
    <row r="301" spans="1:5" x14ac:dyDescent="0.25">
      <c r="A301">
        <v>1330</v>
      </c>
      <c r="E301">
        <v>36.5</v>
      </c>
    </row>
    <row r="302" spans="1:5" x14ac:dyDescent="0.25">
      <c r="A302">
        <v>1370</v>
      </c>
      <c r="E302">
        <v>37</v>
      </c>
    </row>
    <row r="303" spans="1:5" x14ac:dyDescent="0.25">
      <c r="A303">
        <v>1400</v>
      </c>
      <c r="E303">
        <v>37.400000000000006</v>
      </c>
    </row>
    <row r="304" spans="1:5" x14ac:dyDescent="0.25">
      <c r="A304">
        <v>1430</v>
      </c>
      <c r="E304">
        <v>37.9</v>
      </c>
    </row>
    <row r="305" spans="1:5" x14ac:dyDescent="0.25">
      <c r="A305">
        <v>1470</v>
      </c>
      <c r="E305">
        <v>38.299999999999997</v>
      </c>
    </row>
    <row r="306" spans="1:5" x14ac:dyDescent="0.25">
      <c r="A306">
        <v>1500</v>
      </c>
      <c r="E306">
        <v>38.799999999999997</v>
      </c>
    </row>
    <row r="307" spans="1:5" x14ac:dyDescent="0.25">
      <c r="A307">
        <v>1540</v>
      </c>
      <c r="E307">
        <v>39.200000000000003</v>
      </c>
    </row>
    <row r="308" spans="1:5" x14ac:dyDescent="0.25">
      <c r="A308">
        <v>1580</v>
      </c>
      <c r="E308">
        <v>39.700000000000003</v>
      </c>
    </row>
    <row r="309" spans="1:5" x14ac:dyDescent="0.25">
      <c r="A309">
        <v>1620.0000000000002</v>
      </c>
      <c r="E309">
        <v>40.199999999999996</v>
      </c>
    </row>
    <row r="310" spans="1:5" x14ac:dyDescent="0.25">
      <c r="A310">
        <v>1650</v>
      </c>
      <c r="E310">
        <v>40.700000000000003</v>
      </c>
    </row>
    <row r="311" spans="1:5" x14ac:dyDescent="0.25">
      <c r="A311">
        <v>1690</v>
      </c>
      <c r="E311">
        <v>41.2</v>
      </c>
    </row>
    <row r="312" spans="1:5" x14ac:dyDescent="0.25">
      <c r="A312">
        <v>1740</v>
      </c>
      <c r="E312">
        <v>41.7</v>
      </c>
    </row>
    <row r="313" spans="1:5" x14ac:dyDescent="0.25">
      <c r="A313">
        <v>1780</v>
      </c>
      <c r="E313">
        <v>42.199999999999996</v>
      </c>
    </row>
    <row r="314" spans="1:5" x14ac:dyDescent="0.25">
      <c r="A314">
        <v>1820</v>
      </c>
      <c r="E314">
        <v>42.699999999999996</v>
      </c>
    </row>
    <row r="315" spans="1:5" x14ac:dyDescent="0.25">
      <c r="A315">
        <v>1870.0000000000002</v>
      </c>
      <c r="E315">
        <v>43.2</v>
      </c>
    </row>
    <row r="316" spans="1:5" x14ac:dyDescent="0.25">
      <c r="A316">
        <v>1909.9999999999998</v>
      </c>
      <c r="E316">
        <v>43.7</v>
      </c>
    </row>
    <row r="317" spans="1:5" x14ac:dyDescent="0.25">
      <c r="A317">
        <v>1960</v>
      </c>
      <c r="E317">
        <v>44.2</v>
      </c>
    </row>
    <row r="318" spans="1:5" x14ac:dyDescent="0.25">
      <c r="A318">
        <v>2000</v>
      </c>
      <c r="E318">
        <v>44.800000000000004</v>
      </c>
    </row>
    <row r="319" spans="1:5" x14ac:dyDescent="0.25">
      <c r="A319">
        <v>2050</v>
      </c>
      <c r="E319">
        <v>45.300000000000004</v>
      </c>
    </row>
    <row r="320" spans="1:5" x14ac:dyDescent="0.25">
      <c r="A320">
        <v>2100</v>
      </c>
      <c r="E320">
        <v>45.9</v>
      </c>
    </row>
    <row r="321" spans="1:5" x14ac:dyDescent="0.25">
      <c r="A321">
        <v>2150</v>
      </c>
      <c r="E321">
        <v>46.4</v>
      </c>
    </row>
    <row r="322" spans="1:5" x14ac:dyDescent="0.25">
      <c r="A322">
        <v>2210</v>
      </c>
      <c r="E322">
        <v>47</v>
      </c>
    </row>
    <row r="323" spans="1:5" x14ac:dyDescent="0.25">
      <c r="A323">
        <v>2259.9999999999995</v>
      </c>
      <c r="E323">
        <v>47.5</v>
      </c>
    </row>
    <row r="324" spans="1:5" x14ac:dyDescent="0.25">
      <c r="A324">
        <v>2320</v>
      </c>
      <c r="E324">
        <v>48.099999999999994</v>
      </c>
    </row>
    <row r="325" spans="1:5" x14ac:dyDescent="0.25">
      <c r="A325">
        <v>2370.0000000000005</v>
      </c>
      <c r="E325">
        <v>48.7</v>
      </c>
    </row>
    <row r="326" spans="1:5" x14ac:dyDescent="0.25">
      <c r="A326">
        <v>2430</v>
      </c>
      <c r="E326">
        <v>49.3</v>
      </c>
    </row>
    <row r="327" spans="1:5" x14ac:dyDescent="0.25">
      <c r="A327">
        <v>2490.0000000000005</v>
      </c>
      <c r="E327">
        <v>49.900000000000006</v>
      </c>
    </row>
    <row r="328" spans="1:5" x14ac:dyDescent="0.25">
      <c r="A328">
        <v>2550</v>
      </c>
      <c r="E328">
        <v>50.5</v>
      </c>
    </row>
    <row r="329" spans="1:5" x14ac:dyDescent="0.25">
      <c r="A329">
        <v>2610</v>
      </c>
      <c r="E329">
        <v>51.1</v>
      </c>
    </row>
    <row r="330" spans="1:5" x14ac:dyDescent="0.25">
      <c r="A330">
        <v>2670</v>
      </c>
      <c r="E330">
        <v>51.7</v>
      </c>
    </row>
    <row r="331" spans="1:5" x14ac:dyDescent="0.25">
      <c r="A331">
        <v>2740</v>
      </c>
      <c r="E331">
        <v>52.300000000000004</v>
      </c>
    </row>
    <row r="332" spans="1:5" x14ac:dyDescent="0.25">
      <c r="A332">
        <v>2800</v>
      </c>
      <c r="E332">
        <v>53</v>
      </c>
    </row>
    <row r="333" spans="1:5" x14ac:dyDescent="0.25">
      <c r="A333">
        <v>2870</v>
      </c>
      <c r="E333">
        <v>53.6</v>
      </c>
    </row>
    <row r="334" spans="1:5" x14ac:dyDescent="0.25">
      <c r="A334">
        <v>2940</v>
      </c>
      <c r="E334">
        <v>54.2</v>
      </c>
    </row>
    <row r="335" spans="1:5" x14ac:dyDescent="0.25">
      <c r="A335">
        <v>3010</v>
      </c>
      <c r="E335">
        <v>54.900000000000006</v>
      </c>
    </row>
    <row r="336" spans="1:5" x14ac:dyDescent="0.25">
      <c r="A336">
        <v>3090</v>
      </c>
      <c r="E336">
        <v>55.599999999999994</v>
      </c>
    </row>
    <row r="337" spans="1:5" x14ac:dyDescent="0.25">
      <c r="A337">
        <v>3160</v>
      </c>
      <c r="E337">
        <v>56.2</v>
      </c>
    </row>
    <row r="338" spans="1:5" x14ac:dyDescent="0.25">
      <c r="A338">
        <v>3240.0000000000005</v>
      </c>
      <c r="E338">
        <v>56.900000000000006</v>
      </c>
    </row>
    <row r="339" spans="1:5" x14ac:dyDescent="0.25">
      <c r="A339">
        <v>3319.9999999999995</v>
      </c>
      <c r="E339">
        <v>57.599999999999994</v>
      </c>
    </row>
    <row r="340" spans="1:5" x14ac:dyDescent="0.25">
      <c r="A340">
        <v>3400</v>
      </c>
      <c r="E340">
        <v>58.3</v>
      </c>
    </row>
    <row r="341" spans="1:5" x14ac:dyDescent="0.25">
      <c r="A341">
        <v>3480</v>
      </c>
      <c r="E341">
        <v>59</v>
      </c>
    </row>
    <row r="342" spans="1:5" x14ac:dyDescent="0.25">
      <c r="A342">
        <v>3569.9999999999995</v>
      </c>
      <c r="E342">
        <v>59.699999999999996</v>
      </c>
    </row>
    <row r="343" spans="1:5" x14ac:dyDescent="0.25">
      <c r="A343">
        <v>3650</v>
      </c>
      <c r="E343">
        <v>60.4</v>
      </c>
    </row>
    <row r="344" spans="1:5" x14ac:dyDescent="0.25">
      <c r="A344">
        <v>3740.0000000000005</v>
      </c>
      <c r="E344">
        <v>61.2</v>
      </c>
    </row>
    <row r="345" spans="1:5" x14ac:dyDescent="0.25">
      <c r="A345">
        <v>3830</v>
      </c>
      <c r="E345">
        <v>61.900000000000006</v>
      </c>
    </row>
    <row r="346" spans="1:5" x14ac:dyDescent="0.25">
      <c r="A346">
        <v>3920</v>
      </c>
      <c r="E346">
        <v>62.599999999999994</v>
      </c>
    </row>
    <row r="347" spans="1:5" x14ac:dyDescent="0.25">
      <c r="A347">
        <v>4019.9999999999995</v>
      </c>
      <c r="E347">
        <v>63.4</v>
      </c>
    </row>
    <row r="348" spans="1:5" x14ac:dyDescent="0.25">
      <c r="A348">
        <v>4120</v>
      </c>
      <c r="E348">
        <v>64.2</v>
      </c>
    </row>
    <row r="349" spans="1:5" x14ac:dyDescent="0.25">
      <c r="A349">
        <v>4219.9999999999991</v>
      </c>
      <c r="E349">
        <v>64.900000000000006</v>
      </c>
    </row>
    <row r="350" spans="1:5" x14ac:dyDescent="0.25">
      <c r="A350">
        <v>4320</v>
      </c>
      <c r="E350">
        <v>65.7</v>
      </c>
    </row>
    <row r="351" spans="1:5" x14ac:dyDescent="0.25">
      <c r="A351">
        <v>4420</v>
      </c>
      <c r="E351">
        <v>66.5</v>
      </c>
    </row>
    <row r="352" spans="1:5" x14ac:dyDescent="0.25">
      <c r="A352">
        <v>4530.0000000000009</v>
      </c>
      <c r="E352">
        <v>67.300000000000011</v>
      </c>
    </row>
    <row r="353" spans="1:5" x14ac:dyDescent="0.25">
      <c r="A353">
        <v>4640</v>
      </c>
      <c r="E353">
        <v>68.099999999999994</v>
      </c>
    </row>
    <row r="354" spans="1:5" x14ac:dyDescent="0.25">
      <c r="A354">
        <v>4750</v>
      </c>
      <c r="E354">
        <v>69</v>
      </c>
    </row>
    <row r="355" spans="1:5" x14ac:dyDescent="0.25">
      <c r="A355">
        <v>4870</v>
      </c>
      <c r="E355">
        <v>69.800000000000011</v>
      </c>
    </row>
    <row r="356" spans="1:5" x14ac:dyDescent="0.25">
      <c r="A356">
        <v>4990.0000000000009</v>
      </c>
      <c r="E356">
        <v>70.599999999999994</v>
      </c>
    </row>
    <row r="357" spans="1:5" x14ac:dyDescent="0.25">
      <c r="A357">
        <v>5110</v>
      </c>
      <c r="E357">
        <v>71.5</v>
      </c>
    </row>
    <row r="358" spans="1:5" x14ac:dyDescent="0.25">
      <c r="A358">
        <v>5230</v>
      </c>
      <c r="E358">
        <v>72.300000000000011</v>
      </c>
    </row>
    <row r="359" spans="1:5" x14ac:dyDescent="0.25">
      <c r="A359">
        <v>5360</v>
      </c>
      <c r="E359">
        <v>73.2</v>
      </c>
    </row>
    <row r="360" spans="1:5" x14ac:dyDescent="0.25">
      <c r="A360">
        <v>5490</v>
      </c>
      <c r="E360">
        <v>74.099999999999994</v>
      </c>
    </row>
    <row r="361" spans="1:5" x14ac:dyDescent="0.25">
      <c r="A361">
        <v>5620</v>
      </c>
      <c r="E361">
        <v>75</v>
      </c>
    </row>
    <row r="362" spans="1:5" x14ac:dyDescent="0.25">
      <c r="A362">
        <v>5760</v>
      </c>
      <c r="E362">
        <v>75.900000000000006</v>
      </c>
    </row>
    <row r="363" spans="1:5" x14ac:dyDescent="0.25">
      <c r="A363">
        <v>5900</v>
      </c>
      <c r="E363">
        <v>76.8</v>
      </c>
    </row>
    <row r="364" spans="1:5" x14ac:dyDescent="0.25">
      <c r="A364">
        <v>6040</v>
      </c>
      <c r="E364">
        <v>77.699999999999989</v>
      </c>
    </row>
    <row r="365" spans="1:5" x14ac:dyDescent="0.25">
      <c r="A365">
        <v>6190</v>
      </c>
      <c r="E365">
        <v>78.7</v>
      </c>
    </row>
    <row r="366" spans="1:5" x14ac:dyDescent="0.25">
      <c r="A366">
        <v>6340</v>
      </c>
      <c r="E366">
        <v>79.599999999999994</v>
      </c>
    </row>
    <row r="367" spans="1:5" x14ac:dyDescent="0.25">
      <c r="A367">
        <v>6490</v>
      </c>
      <c r="E367">
        <v>80.600000000000009</v>
      </c>
    </row>
    <row r="368" spans="1:5" x14ac:dyDescent="0.25">
      <c r="A368">
        <v>6650</v>
      </c>
      <c r="E368">
        <v>81.599999999999994</v>
      </c>
    </row>
    <row r="369" spans="1:5" x14ac:dyDescent="0.25">
      <c r="A369">
        <v>6810</v>
      </c>
      <c r="E369">
        <v>82.5</v>
      </c>
    </row>
    <row r="370" spans="1:5" x14ac:dyDescent="0.25">
      <c r="A370">
        <v>6980.0000000000009</v>
      </c>
      <c r="E370">
        <v>83.5</v>
      </c>
    </row>
    <row r="371" spans="1:5" x14ac:dyDescent="0.25">
      <c r="A371">
        <v>7150</v>
      </c>
      <c r="E371">
        <v>84.5</v>
      </c>
    </row>
    <row r="372" spans="1:5" x14ac:dyDescent="0.25">
      <c r="A372">
        <v>7320</v>
      </c>
      <c r="E372">
        <v>85.600000000000009</v>
      </c>
    </row>
    <row r="373" spans="1:5" x14ac:dyDescent="0.25">
      <c r="A373">
        <v>7500</v>
      </c>
      <c r="E373">
        <v>86.6</v>
      </c>
    </row>
    <row r="374" spans="1:5" x14ac:dyDescent="0.25">
      <c r="A374">
        <v>7680</v>
      </c>
      <c r="E374">
        <v>87.6</v>
      </c>
    </row>
    <row r="375" spans="1:5" x14ac:dyDescent="0.25">
      <c r="A375">
        <v>7870</v>
      </c>
      <c r="E375">
        <v>88.699999999999989</v>
      </c>
    </row>
    <row r="376" spans="1:5" x14ac:dyDescent="0.25">
      <c r="A376">
        <v>8060.0000000000009</v>
      </c>
      <c r="E376">
        <v>89.800000000000011</v>
      </c>
    </row>
    <row r="377" spans="1:5" x14ac:dyDescent="0.25">
      <c r="A377">
        <v>8250</v>
      </c>
      <c r="E377">
        <v>90.9</v>
      </c>
    </row>
    <row r="378" spans="1:5" x14ac:dyDescent="0.25">
      <c r="A378">
        <v>8450</v>
      </c>
      <c r="E378">
        <v>92</v>
      </c>
    </row>
    <row r="379" spans="1:5" x14ac:dyDescent="0.25">
      <c r="A379">
        <v>8660</v>
      </c>
      <c r="E379">
        <v>93.100000000000009</v>
      </c>
    </row>
    <row r="380" spans="1:5" x14ac:dyDescent="0.25">
      <c r="A380">
        <v>8869.9999999999982</v>
      </c>
      <c r="E380">
        <v>94.2</v>
      </c>
    </row>
    <row r="381" spans="1:5" x14ac:dyDescent="0.25">
      <c r="A381">
        <v>9090</v>
      </c>
      <c r="E381">
        <v>95.3</v>
      </c>
    </row>
    <row r="382" spans="1:5" x14ac:dyDescent="0.25">
      <c r="A382">
        <v>9310.0000000000018</v>
      </c>
      <c r="E382">
        <v>96.5</v>
      </c>
    </row>
    <row r="383" spans="1:5" x14ac:dyDescent="0.25">
      <c r="A383">
        <v>9530</v>
      </c>
      <c r="E383">
        <v>97.6</v>
      </c>
    </row>
    <row r="384" spans="1:5" x14ac:dyDescent="0.25">
      <c r="A384">
        <v>9760</v>
      </c>
      <c r="E384">
        <v>98.800000000000011</v>
      </c>
    </row>
    <row r="385" spans="1:5" x14ac:dyDescent="0.25">
      <c r="A385">
        <v>10000</v>
      </c>
      <c r="E385">
        <v>100</v>
      </c>
    </row>
    <row r="386" spans="1:5" x14ac:dyDescent="0.25">
      <c r="A386">
        <v>10200</v>
      </c>
      <c r="E386">
        <v>101</v>
      </c>
    </row>
    <row r="387" spans="1:5" x14ac:dyDescent="0.25">
      <c r="A387">
        <v>10500</v>
      </c>
      <c r="E387">
        <v>102</v>
      </c>
    </row>
    <row r="388" spans="1:5" x14ac:dyDescent="0.25">
      <c r="A388">
        <v>10700.000000000002</v>
      </c>
      <c r="E388">
        <v>104</v>
      </c>
    </row>
    <row r="389" spans="1:5" x14ac:dyDescent="0.25">
      <c r="A389">
        <v>11000</v>
      </c>
      <c r="E389">
        <v>105</v>
      </c>
    </row>
    <row r="390" spans="1:5" x14ac:dyDescent="0.25">
      <c r="A390">
        <v>11299.999999999998</v>
      </c>
      <c r="E390">
        <v>106.00000000000001</v>
      </c>
    </row>
    <row r="391" spans="1:5" x14ac:dyDescent="0.25">
      <c r="A391">
        <v>11500</v>
      </c>
      <c r="E391">
        <v>107.00000000000001</v>
      </c>
    </row>
    <row r="392" spans="1:5" x14ac:dyDescent="0.25">
      <c r="A392">
        <v>11799.999999999998</v>
      </c>
      <c r="E392">
        <v>109</v>
      </c>
    </row>
    <row r="393" spans="1:5" x14ac:dyDescent="0.25">
      <c r="A393">
        <v>12100</v>
      </c>
      <c r="E393">
        <v>110</v>
      </c>
    </row>
    <row r="394" spans="1:5" x14ac:dyDescent="0.25">
      <c r="A394">
        <v>12400</v>
      </c>
      <c r="E394">
        <v>111.00000000000001</v>
      </c>
    </row>
    <row r="395" spans="1:5" x14ac:dyDescent="0.25">
      <c r="A395">
        <v>12700</v>
      </c>
      <c r="E395">
        <v>112.99999999999999</v>
      </c>
    </row>
    <row r="396" spans="1:5" x14ac:dyDescent="0.25">
      <c r="A396">
        <v>13000</v>
      </c>
      <c r="E396">
        <v>113.99999999999999</v>
      </c>
    </row>
    <row r="397" spans="1:5" x14ac:dyDescent="0.25">
      <c r="A397">
        <v>13300</v>
      </c>
      <c r="E397">
        <v>115</v>
      </c>
    </row>
    <row r="398" spans="1:5" x14ac:dyDescent="0.25">
      <c r="A398">
        <v>13700</v>
      </c>
      <c r="E398">
        <v>117</v>
      </c>
    </row>
    <row r="399" spans="1:5" x14ac:dyDescent="0.25">
      <c r="A399">
        <v>14000</v>
      </c>
      <c r="E399">
        <v>117.99999999999999</v>
      </c>
    </row>
    <row r="400" spans="1:5" x14ac:dyDescent="0.25">
      <c r="A400">
        <v>14300</v>
      </c>
      <c r="E400">
        <v>120</v>
      </c>
    </row>
    <row r="401" spans="1:5" x14ac:dyDescent="0.25">
      <c r="A401">
        <v>14700</v>
      </c>
      <c r="E401">
        <v>121</v>
      </c>
    </row>
    <row r="402" spans="1:5" x14ac:dyDescent="0.25">
      <c r="A402">
        <v>15000</v>
      </c>
      <c r="E402">
        <v>123</v>
      </c>
    </row>
    <row r="403" spans="1:5" x14ac:dyDescent="0.25">
      <c r="A403">
        <v>15400</v>
      </c>
      <c r="E403">
        <v>124</v>
      </c>
    </row>
    <row r="404" spans="1:5" x14ac:dyDescent="0.25">
      <c r="A404">
        <v>15800</v>
      </c>
      <c r="E404">
        <v>126</v>
      </c>
    </row>
    <row r="405" spans="1:5" x14ac:dyDescent="0.25">
      <c r="A405">
        <v>16200.000000000002</v>
      </c>
      <c r="E405">
        <v>127</v>
      </c>
    </row>
    <row r="406" spans="1:5" x14ac:dyDescent="0.25">
      <c r="A406">
        <v>16500</v>
      </c>
      <c r="E406">
        <v>129</v>
      </c>
    </row>
    <row r="407" spans="1:5" x14ac:dyDescent="0.25">
      <c r="A407">
        <v>16900</v>
      </c>
      <c r="E407">
        <v>130</v>
      </c>
    </row>
    <row r="408" spans="1:5" x14ac:dyDescent="0.25">
      <c r="A408">
        <v>17400</v>
      </c>
      <c r="E408">
        <v>132</v>
      </c>
    </row>
    <row r="409" spans="1:5" x14ac:dyDescent="0.25">
      <c r="A409">
        <v>17800</v>
      </c>
      <c r="E409">
        <v>133</v>
      </c>
    </row>
    <row r="410" spans="1:5" x14ac:dyDescent="0.25">
      <c r="A410">
        <v>18200</v>
      </c>
      <c r="E410">
        <v>135</v>
      </c>
    </row>
    <row r="411" spans="1:5" x14ac:dyDescent="0.25">
      <c r="A411">
        <v>18700.000000000004</v>
      </c>
      <c r="E411">
        <v>137</v>
      </c>
    </row>
    <row r="412" spans="1:5" x14ac:dyDescent="0.25">
      <c r="A412">
        <v>19099.999999999996</v>
      </c>
      <c r="E412">
        <v>138</v>
      </c>
    </row>
    <row r="413" spans="1:5" x14ac:dyDescent="0.25">
      <c r="A413">
        <v>19600</v>
      </c>
      <c r="E413">
        <v>140</v>
      </c>
    </row>
    <row r="414" spans="1:5" x14ac:dyDescent="0.25">
      <c r="A414">
        <v>20000</v>
      </c>
      <c r="E414">
        <v>142</v>
      </c>
    </row>
    <row r="415" spans="1:5" x14ac:dyDescent="0.25">
      <c r="A415">
        <v>20500</v>
      </c>
      <c r="E415">
        <v>143</v>
      </c>
    </row>
    <row r="416" spans="1:5" x14ac:dyDescent="0.25">
      <c r="A416">
        <v>21000</v>
      </c>
      <c r="E416">
        <v>145</v>
      </c>
    </row>
    <row r="417" spans="1:5" x14ac:dyDescent="0.25">
      <c r="A417">
        <v>21500</v>
      </c>
      <c r="E417">
        <v>147</v>
      </c>
    </row>
    <row r="418" spans="1:5" x14ac:dyDescent="0.25">
      <c r="A418">
        <v>22100</v>
      </c>
      <c r="E418">
        <v>149</v>
      </c>
    </row>
    <row r="419" spans="1:5" x14ac:dyDescent="0.25">
      <c r="A419">
        <v>22599.999999999996</v>
      </c>
      <c r="E419">
        <v>150</v>
      </c>
    </row>
    <row r="420" spans="1:5" x14ac:dyDescent="0.25">
      <c r="A420">
        <v>23200</v>
      </c>
      <c r="E420">
        <v>152</v>
      </c>
    </row>
    <row r="421" spans="1:5" x14ac:dyDescent="0.25">
      <c r="A421">
        <v>23700.000000000004</v>
      </c>
      <c r="E421">
        <v>154</v>
      </c>
    </row>
    <row r="422" spans="1:5" x14ac:dyDescent="0.25">
      <c r="A422">
        <v>24300</v>
      </c>
      <c r="E422">
        <v>156</v>
      </c>
    </row>
    <row r="423" spans="1:5" x14ac:dyDescent="0.25">
      <c r="A423">
        <v>24900.000000000004</v>
      </c>
      <c r="E423">
        <v>158</v>
      </c>
    </row>
    <row r="424" spans="1:5" x14ac:dyDescent="0.25">
      <c r="A424">
        <v>25500</v>
      </c>
      <c r="E424">
        <v>160</v>
      </c>
    </row>
    <row r="425" spans="1:5" x14ac:dyDescent="0.25">
      <c r="A425">
        <v>26100</v>
      </c>
      <c r="E425">
        <v>162.00000000000003</v>
      </c>
    </row>
    <row r="426" spans="1:5" x14ac:dyDescent="0.25">
      <c r="A426">
        <v>26700</v>
      </c>
      <c r="E426">
        <v>164</v>
      </c>
    </row>
    <row r="427" spans="1:5" x14ac:dyDescent="0.25">
      <c r="A427">
        <v>27400</v>
      </c>
      <c r="E427">
        <v>165</v>
      </c>
    </row>
    <row r="428" spans="1:5" x14ac:dyDescent="0.25">
      <c r="A428">
        <v>28000</v>
      </c>
      <c r="E428">
        <v>167</v>
      </c>
    </row>
    <row r="429" spans="1:5" x14ac:dyDescent="0.25">
      <c r="A429">
        <v>28700</v>
      </c>
      <c r="E429">
        <v>169</v>
      </c>
    </row>
    <row r="430" spans="1:5" x14ac:dyDescent="0.25">
      <c r="A430">
        <v>29400</v>
      </c>
      <c r="E430">
        <v>172</v>
      </c>
    </row>
    <row r="431" spans="1:5" x14ac:dyDescent="0.25">
      <c r="A431">
        <v>30100</v>
      </c>
      <c r="E431">
        <v>174</v>
      </c>
    </row>
    <row r="432" spans="1:5" x14ac:dyDescent="0.25">
      <c r="A432">
        <v>30900</v>
      </c>
      <c r="E432">
        <v>176</v>
      </c>
    </row>
    <row r="433" spans="1:5" x14ac:dyDescent="0.25">
      <c r="A433">
        <v>31600</v>
      </c>
      <c r="E433">
        <v>178</v>
      </c>
    </row>
    <row r="434" spans="1:5" x14ac:dyDescent="0.25">
      <c r="A434">
        <v>32400.000000000004</v>
      </c>
      <c r="E434">
        <v>180</v>
      </c>
    </row>
    <row r="435" spans="1:5" x14ac:dyDescent="0.25">
      <c r="A435">
        <v>33199.999999999993</v>
      </c>
      <c r="E435">
        <v>182</v>
      </c>
    </row>
    <row r="436" spans="1:5" x14ac:dyDescent="0.25">
      <c r="A436">
        <v>34000</v>
      </c>
      <c r="E436">
        <v>184.00000000000003</v>
      </c>
    </row>
    <row r="437" spans="1:5" x14ac:dyDescent="0.25">
      <c r="A437">
        <v>34800</v>
      </c>
      <c r="E437">
        <v>187.00000000000003</v>
      </c>
    </row>
    <row r="438" spans="1:5" x14ac:dyDescent="0.25">
      <c r="A438">
        <v>35699.999999999993</v>
      </c>
      <c r="E438">
        <v>189</v>
      </c>
    </row>
    <row r="439" spans="1:5" x14ac:dyDescent="0.25">
      <c r="A439">
        <v>36500</v>
      </c>
      <c r="E439">
        <v>190.99999999999997</v>
      </c>
    </row>
    <row r="440" spans="1:5" x14ac:dyDescent="0.25">
      <c r="A440">
        <v>37400.000000000007</v>
      </c>
      <c r="E440">
        <v>193</v>
      </c>
    </row>
    <row r="441" spans="1:5" x14ac:dyDescent="0.25">
      <c r="A441">
        <v>38300</v>
      </c>
      <c r="E441">
        <v>196</v>
      </c>
    </row>
    <row r="442" spans="1:5" x14ac:dyDescent="0.25">
      <c r="A442">
        <v>39200</v>
      </c>
      <c r="E442">
        <v>198</v>
      </c>
    </row>
    <row r="443" spans="1:5" x14ac:dyDescent="0.25">
      <c r="A443">
        <v>40199.999999999993</v>
      </c>
      <c r="E443">
        <v>200</v>
      </c>
    </row>
    <row r="444" spans="1:5" x14ac:dyDescent="0.25">
      <c r="A444">
        <v>41200</v>
      </c>
      <c r="E444">
        <v>202.99999999999997</v>
      </c>
    </row>
    <row r="445" spans="1:5" x14ac:dyDescent="0.25">
      <c r="A445">
        <v>42199.999999999993</v>
      </c>
      <c r="E445">
        <v>205</v>
      </c>
    </row>
    <row r="446" spans="1:5" x14ac:dyDescent="0.25">
      <c r="A446">
        <v>43200</v>
      </c>
      <c r="E446">
        <v>208</v>
      </c>
    </row>
    <row r="447" spans="1:5" x14ac:dyDescent="0.25">
      <c r="A447">
        <v>44200</v>
      </c>
      <c r="E447">
        <v>210</v>
      </c>
    </row>
    <row r="448" spans="1:5" x14ac:dyDescent="0.25">
      <c r="A448">
        <v>45300.000000000007</v>
      </c>
      <c r="E448">
        <v>212.99999999999997</v>
      </c>
    </row>
    <row r="449" spans="1:5" x14ac:dyDescent="0.25">
      <c r="A449">
        <v>46400</v>
      </c>
      <c r="E449">
        <v>215</v>
      </c>
    </row>
    <row r="450" spans="1:5" x14ac:dyDescent="0.25">
      <c r="A450">
        <v>47500</v>
      </c>
      <c r="E450">
        <v>218</v>
      </c>
    </row>
    <row r="451" spans="1:5" x14ac:dyDescent="0.25">
      <c r="A451">
        <v>48700</v>
      </c>
      <c r="E451">
        <v>221</v>
      </c>
    </row>
    <row r="452" spans="1:5" x14ac:dyDescent="0.25">
      <c r="A452">
        <v>49900.000000000007</v>
      </c>
      <c r="E452">
        <v>223</v>
      </c>
    </row>
    <row r="453" spans="1:5" x14ac:dyDescent="0.25">
      <c r="A453">
        <v>51100</v>
      </c>
      <c r="E453">
        <v>225.99999999999997</v>
      </c>
    </row>
    <row r="454" spans="1:5" x14ac:dyDescent="0.25">
      <c r="A454">
        <v>52300</v>
      </c>
      <c r="E454">
        <v>229</v>
      </c>
    </row>
    <row r="455" spans="1:5" x14ac:dyDescent="0.25">
      <c r="A455">
        <v>53600</v>
      </c>
      <c r="E455">
        <v>232</v>
      </c>
    </row>
    <row r="456" spans="1:5" x14ac:dyDescent="0.25">
      <c r="A456">
        <v>54900</v>
      </c>
      <c r="E456">
        <v>234</v>
      </c>
    </row>
    <row r="457" spans="1:5" x14ac:dyDescent="0.25">
      <c r="A457">
        <v>56200</v>
      </c>
      <c r="E457">
        <v>237.00000000000003</v>
      </c>
    </row>
    <row r="458" spans="1:5" x14ac:dyDescent="0.25">
      <c r="A458">
        <v>57600</v>
      </c>
      <c r="E458">
        <v>240</v>
      </c>
    </row>
    <row r="459" spans="1:5" x14ac:dyDescent="0.25">
      <c r="A459">
        <v>59000</v>
      </c>
      <c r="E459">
        <v>243</v>
      </c>
    </row>
    <row r="460" spans="1:5" x14ac:dyDescent="0.25">
      <c r="A460">
        <v>60400</v>
      </c>
      <c r="E460">
        <v>246</v>
      </c>
    </row>
    <row r="461" spans="1:5" x14ac:dyDescent="0.25">
      <c r="A461">
        <v>61900</v>
      </c>
      <c r="E461">
        <v>249.00000000000003</v>
      </c>
    </row>
    <row r="462" spans="1:5" x14ac:dyDescent="0.25">
      <c r="A462">
        <v>63400</v>
      </c>
      <c r="E462">
        <v>252</v>
      </c>
    </row>
    <row r="463" spans="1:5" x14ac:dyDescent="0.25">
      <c r="A463">
        <v>64900</v>
      </c>
      <c r="E463">
        <v>255</v>
      </c>
    </row>
    <row r="464" spans="1:5" x14ac:dyDescent="0.25">
      <c r="A464">
        <v>66500</v>
      </c>
      <c r="E464">
        <v>258</v>
      </c>
    </row>
    <row r="465" spans="1:5" x14ac:dyDescent="0.25">
      <c r="A465">
        <v>68100</v>
      </c>
      <c r="E465">
        <v>261</v>
      </c>
    </row>
    <row r="466" spans="1:5" x14ac:dyDescent="0.25">
      <c r="A466">
        <v>69800.000000000015</v>
      </c>
      <c r="E466">
        <v>264</v>
      </c>
    </row>
    <row r="467" spans="1:5" x14ac:dyDescent="0.25">
      <c r="A467">
        <v>71500</v>
      </c>
      <c r="E467">
        <v>267</v>
      </c>
    </row>
    <row r="468" spans="1:5" x14ac:dyDescent="0.25">
      <c r="A468">
        <v>73200</v>
      </c>
      <c r="E468">
        <v>271</v>
      </c>
    </row>
    <row r="469" spans="1:5" x14ac:dyDescent="0.25">
      <c r="A469">
        <v>75000</v>
      </c>
      <c r="E469">
        <v>274</v>
      </c>
    </row>
    <row r="470" spans="1:5" x14ac:dyDescent="0.25">
      <c r="A470">
        <v>76800</v>
      </c>
      <c r="E470">
        <v>277</v>
      </c>
    </row>
    <row r="471" spans="1:5" x14ac:dyDescent="0.25">
      <c r="A471">
        <v>78700</v>
      </c>
      <c r="E471">
        <v>280</v>
      </c>
    </row>
    <row r="472" spans="1:5" x14ac:dyDescent="0.25">
      <c r="A472">
        <v>80600.000000000015</v>
      </c>
      <c r="E472">
        <v>284</v>
      </c>
    </row>
    <row r="473" spans="1:5" x14ac:dyDescent="0.25">
      <c r="A473">
        <v>82500</v>
      </c>
      <c r="E473">
        <v>287</v>
      </c>
    </row>
    <row r="474" spans="1:5" x14ac:dyDescent="0.25">
      <c r="A474">
        <v>84500</v>
      </c>
      <c r="E474">
        <v>291</v>
      </c>
    </row>
    <row r="475" spans="1:5" x14ac:dyDescent="0.25">
      <c r="A475">
        <v>86600</v>
      </c>
      <c r="E475">
        <v>294</v>
      </c>
    </row>
    <row r="476" spans="1:5" x14ac:dyDescent="0.25">
      <c r="A476">
        <v>88699.999999999985</v>
      </c>
      <c r="E476">
        <v>298</v>
      </c>
    </row>
    <row r="477" spans="1:5" x14ac:dyDescent="0.25">
      <c r="A477">
        <v>90900</v>
      </c>
      <c r="E477">
        <v>301</v>
      </c>
    </row>
    <row r="478" spans="1:5" x14ac:dyDescent="0.25">
      <c r="A478">
        <v>93100.000000000015</v>
      </c>
      <c r="E478">
        <v>305</v>
      </c>
    </row>
    <row r="479" spans="1:5" x14ac:dyDescent="0.25">
      <c r="A479">
        <v>95300</v>
      </c>
      <c r="E479">
        <v>309</v>
      </c>
    </row>
    <row r="480" spans="1:5" x14ac:dyDescent="0.25">
      <c r="A480">
        <v>97600</v>
      </c>
      <c r="E480">
        <v>312</v>
      </c>
    </row>
    <row r="481" spans="1:5" x14ac:dyDescent="0.25">
      <c r="A481">
        <v>100000</v>
      </c>
      <c r="E481">
        <v>316</v>
      </c>
    </row>
    <row r="482" spans="1:5" x14ac:dyDescent="0.25">
      <c r="A482">
        <v>102000</v>
      </c>
      <c r="E482">
        <v>320</v>
      </c>
    </row>
    <row r="483" spans="1:5" x14ac:dyDescent="0.25">
      <c r="A483">
        <v>105000</v>
      </c>
      <c r="E483">
        <v>324.00000000000006</v>
      </c>
    </row>
    <row r="484" spans="1:5" x14ac:dyDescent="0.25">
      <c r="A484">
        <v>107000.00000000001</v>
      </c>
      <c r="E484">
        <v>328</v>
      </c>
    </row>
    <row r="485" spans="1:5" x14ac:dyDescent="0.25">
      <c r="A485">
        <v>110000</v>
      </c>
      <c r="E485">
        <v>331.99999999999994</v>
      </c>
    </row>
    <row r="486" spans="1:5" x14ac:dyDescent="0.25">
      <c r="A486">
        <v>112999.99999999999</v>
      </c>
      <c r="E486">
        <v>336</v>
      </c>
    </row>
    <row r="487" spans="1:5" x14ac:dyDescent="0.25">
      <c r="A487">
        <v>115000</v>
      </c>
      <c r="E487">
        <v>340</v>
      </c>
    </row>
    <row r="488" spans="1:5" x14ac:dyDescent="0.25">
      <c r="A488">
        <v>117999.99999999999</v>
      </c>
      <c r="E488">
        <v>344</v>
      </c>
    </row>
    <row r="489" spans="1:5" x14ac:dyDescent="0.25">
      <c r="A489">
        <v>121000</v>
      </c>
      <c r="E489">
        <v>348</v>
      </c>
    </row>
    <row r="490" spans="1:5" x14ac:dyDescent="0.25">
      <c r="A490">
        <v>124000</v>
      </c>
      <c r="E490">
        <v>352</v>
      </c>
    </row>
    <row r="491" spans="1:5" x14ac:dyDescent="0.25">
      <c r="A491">
        <v>127000</v>
      </c>
      <c r="E491">
        <v>356.99999999999994</v>
      </c>
    </row>
    <row r="492" spans="1:5" x14ac:dyDescent="0.25">
      <c r="A492">
        <v>130000</v>
      </c>
      <c r="E492">
        <v>361</v>
      </c>
    </row>
    <row r="493" spans="1:5" x14ac:dyDescent="0.25">
      <c r="A493">
        <v>133000</v>
      </c>
      <c r="E493">
        <v>365</v>
      </c>
    </row>
    <row r="494" spans="1:5" x14ac:dyDescent="0.25">
      <c r="A494">
        <v>137000</v>
      </c>
      <c r="E494">
        <v>370</v>
      </c>
    </row>
    <row r="495" spans="1:5" x14ac:dyDescent="0.25">
      <c r="A495">
        <v>140000</v>
      </c>
      <c r="E495">
        <v>374.00000000000006</v>
      </c>
    </row>
    <row r="496" spans="1:5" x14ac:dyDescent="0.25">
      <c r="A496">
        <v>143000</v>
      </c>
      <c r="E496">
        <v>379</v>
      </c>
    </row>
    <row r="497" spans="1:5" x14ac:dyDescent="0.25">
      <c r="A497">
        <v>147000</v>
      </c>
      <c r="E497">
        <v>383</v>
      </c>
    </row>
    <row r="498" spans="1:5" x14ac:dyDescent="0.25">
      <c r="A498">
        <v>150000</v>
      </c>
      <c r="E498">
        <v>388</v>
      </c>
    </row>
    <row r="499" spans="1:5" x14ac:dyDescent="0.25">
      <c r="A499">
        <v>154000</v>
      </c>
      <c r="E499">
        <v>392</v>
      </c>
    </row>
    <row r="500" spans="1:5" x14ac:dyDescent="0.25">
      <c r="A500">
        <v>158000</v>
      </c>
      <c r="E500">
        <v>397</v>
      </c>
    </row>
    <row r="501" spans="1:5" x14ac:dyDescent="0.25">
      <c r="A501">
        <v>162000.00000000003</v>
      </c>
      <c r="E501">
        <v>401.99999999999994</v>
      </c>
    </row>
    <row r="502" spans="1:5" x14ac:dyDescent="0.25">
      <c r="A502">
        <v>165000</v>
      </c>
      <c r="E502">
        <v>407</v>
      </c>
    </row>
    <row r="503" spans="1:5" x14ac:dyDescent="0.25">
      <c r="A503">
        <v>169000</v>
      </c>
      <c r="E503">
        <v>412</v>
      </c>
    </row>
    <row r="504" spans="1:5" x14ac:dyDescent="0.25">
      <c r="A504">
        <v>174000</v>
      </c>
      <c r="E504">
        <v>417</v>
      </c>
    </row>
    <row r="505" spans="1:5" x14ac:dyDescent="0.25">
      <c r="A505">
        <v>178000</v>
      </c>
      <c r="E505">
        <v>421.99999999999994</v>
      </c>
    </row>
    <row r="506" spans="1:5" x14ac:dyDescent="0.25">
      <c r="A506">
        <v>182000</v>
      </c>
      <c r="E506">
        <v>426.99999999999994</v>
      </c>
    </row>
    <row r="507" spans="1:5" x14ac:dyDescent="0.25">
      <c r="A507">
        <v>187000.00000000003</v>
      </c>
      <c r="E507">
        <v>432</v>
      </c>
    </row>
    <row r="508" spans="1:5" x14ac:dyDescent="0.25">
      <c r="A508">
        <v>190999.99999999997</v>
      </c>
      <c r="E508">
        <v>437</v>
      </c>
    </row>
    <row r="509" spans="1:5" x14ac:dyDescent="0.25">
      <c r="A509">
        <v>196000</v>
      </c>
      <c r="E509">
        <v>442</v>
      </c>
    </row>
    <row r="510" spans="1:5" x14ac:dyDescent="0.25">
      <c r="A510">
        <v>200000</v>
      </c>
      <c r="E510">
        <v>448.00000000000006</v>
      </c>
    </row>
    <row r="511" spans="1:5" x14ac:dyDescent="0.25">
      <c r="A511">
        <v>205000</v>
      </c>
      <c r="E511">
        <v>453.00000000000006</v>
      </c>
    </row>
    <row r="512" spans="1:5" x14ac:dyDescent="0.25">
      <c r="A512">
        <v>210000</v>
      </c>
      <c r="E512">
        <v>459</v>
      </c>
    </row>
    <row r="513" spans="1:5" x14ac:dyDescent="0.25">
      <c r="A513">
        <v>215000</v>
      </c>
      <c r="E513">
        <v>464</v>
      </c>
    </row>
    <row r="514" spans="1:5" x14ac:dyDescent="0.25">
      <c r="A514">
        <v>221000</v>
      </c>
      <c r="E514">
        <v>470</v>
      </c>
    </row>
    <row r="515" spans="1:5" x14ac:dyDescent="0.25">
      <c r="A515">
        <v>225999.99999999997</v>
      </c>
      <c r="E515">
        <v>475</v>
      </c>
    </row>
    <row r="516" spans="1:5" x14ac:dyDescent="0.25">
      <c r="A516">
        <v>232000</v>
      </c>
      <c r="E516">
        <v>480.99999999999994</v>
      </c>
    </row>
    <row r="517" spans="1:5" x14ac:dyDescent="0.25">
      <c r="A517">
        <v>237000.00000000003</v>
      </c>
      <c r="E517">
        <v>487</v>
      </c>
    </row>
    <row r="518" spans="1:5" x14ac:dyDescent="0.25">
      <c r="A518">
        <v>243000</v>
      </c>
      <c r="E518">
        <v>493</v>
      </c>
    </row>
    <row r="519" spans="1:5" x14ac:dyDescent="0.25">
      <c r="A519">
        <v>249000.00000000003</v>
      </c>
      <c r="E519">
        <v>499.00000000000006</v>
      </c>
    </row>
    <row r="520" spans="1:5" x14ac:dyDescent="0.25">
      <c r="A520">
        <v>255000</v>
      </c>
      <c r="E520">
        <v>505</v>
      </c>
    </row>
    <row r="521" spans="1:5" x14ac:dyDescent="0.25">
      <c r="A521">
        <v>261000</v>
      </c>
      <c r="E521">
        <v>511</v>
      </c>
    </row>
    <row r="522" spans="1:5" x14ac:dyDescent="0.25">
      <c r="A522">
        <v>267000</v>
      </c>
      <c r="E522">
        <v>517</v>
      </c>
    </row>
    <row r="523" spans="1:5" x14ac:dyDescent="0.25">
      <c r="A523">
        <v>274000</v>
      </c>
      <c r="E523">
        <v>523</v>
      </c>
    </row>
    <row r="524" spans="1:5" x14ac:dyDescent="0.25">
      <c r="A524">
        <v>280000</v>
      </c>
      <c r="E524">
        <v>530</v>
      </c>
    </row>
    <row r="525" spans="1:5" x14ac:dyDescent="0.25">
      <c r="A525">
        <v>287000</v>
      </c>
      <c r="E525">
        <v>536</v>
      </c>
    </row>
    <row r="526" spans="1:5" x14ac:dyDescent="0.25">
      <c r="A526">
        <v>294000</v>
      </c>
      <c r="E526">
        <v>542</v>
      </c>
    </row>
    <row r="527" spans="1:5" x14ac:dyDescent="0.25">
      <c r="A527">
        <v>301000</v>
      </c>
      <c r="E527">
        <v>549</v>
      </c>
    </row>
    <row r="528" spans="1:5" x14ac:dyDescent="0.25">
      <c r="A528">
        <v>309000</v>
      </c>
      <c r="E528">
        <v>556</v>
      </c>
    </row>
    <row r="529" spans="1:5" x14ac:dyDescent="0.25">
      <c r="A529">
        <v>316000</v>
      </c>
      <c r="E529">
        <v>562</v>
      </c>
    </row>
    <row r="530" spans="1:5" x14ac:dyDescent="0.25">
      <c r="A530">
        <v>324000.00000000006</v>
      </c>
      <c r="E530">
        <v>569</v>
      </c>
    </row>
    <row r="531" spans="1:5" x14ac:dyDescent="0.25">
      <c r="A531">
        <v>331999.99999999994</v>
      </c>
      <c r="E531">
        <v>576</v>
      </c>
    </row>
    <row r="532" spans="1:5" x14ac:dyDescent="0.25">
      <c r="A532">
        <v>340000</v>
      </c>
      <c r="E532">
        <v>583</v>
      </c>
    </row>
    <row r="533" spans="1:5" x14ac:dyDescent="0.25">
      <c r="A533">
        <v>348000</v>
      </c>
      <c r="E533">
        <v>590</v>
      </c>
    </row>
    <row r="534" spans="1:5" x14ac:dyDescent="0.25">
      <c r="A534">
        <v>356999.99999999994</v>
      </c>
      <c r="E534">
        <v>597</v>
      </c>
    </row>
    <row r="535" spans="1:5" x14ac:dyDescent="0.25">
      <c r="A535">
        <v>365000</v>
      </c>
      <c r="E535">
        <v>604</v>
      </c>
    </row>
    <row r="536" spans="1:5" x14ac:dyDescent="0.25">
      <c r="A536">
        <v>374000.00000000006</v>
      </c>
      <c r="E536">
        <v>612</v>
      </c>
    </row>
    <row r="537" spans="1:5" x14ac:dyDescent="0.25">
      <c r="A537">
        <v>383000</v>
      </c>
      <c r="E537">
        <v>619</v>
      </c>
    </row>
    <row r="538" spans="1:5" x14ac:dyDescent="0.25">
      <c r="A538">
        <v>392000</v>
      </c>
      <c r="E538">
        <v>626</v>
      </c>
    </row>
    <row r="539" spans="1:5" x14ac:dyDescent="0.25">
      <c r="A539">
        <v>401999.99999999994</v>
      </c>
      <c r="E539">
        <v>634</v>
      </c>
    </row>
    <row r="540" spans="1:5" x14ac:dyDescent="0.25">
      <c r="A540">
        <v>412000</v>
      </c>
      <c r="E540">
        <v>642</v>
      </c>
    </row>
    <row r="541" spans="1:5" x14ac:dyDescent="0.25">
      <c r="A541">
        <v>421999.99999999994</v>
      </c>
      <c r="E541">
        <v>649</v>
      </c>
    </row>
    <row r="542" spans="1:5" x14ac:dyDescent="0.25">
      <c r="A542">
        <v>432000</v>
      </c>
      <c r="E542">
        <v>657</v>
      </c>
    </row>
    <row r="543" spans="1:5" x14ac:dyDescent="0.25">
      <c r="A543">
        <v>442000</v>
      </c>
      <c r="E543">
        <v>665</v>
      </c>
    </row>
    <row r="544" spans="1:5" x14ac:dyDescent="0.25">
      <c r="A544">
        <v>453000.00000000006</v>
      </c>
      <c r="E544">
        <v>673.00000000000011</v>
      </c>
    </row>
    <row r="545" spans="1:5" x14ac:dyDescent="0.25">
      <c r="A545">
        <v>464000</v>
      </c>
      <c r="E545">
        <v>681</v>
      </c>
    </row>
    <row r="546" spans="1:5" x14ac:dyDescent="0.25">
      <c r="A546">
        <v>475000</v>
      </c>
      <c r="E546">
        <v>690</v>
      </c>
    </row>
    <row r="547" spans="1:5" x14ac:dyDescent="0.25">
      <c r="A547">
        <v>487000</v>
      </c>
      <c r="E547">
        <v>698.00000000000011</v>
      </c>
    </row>
    <row r="548" spans="1:5" x14ac:dyDescent="0.25">
      <c r="A548">
        <v>499000.00000000006</v>
      </c>
      <c r="E548">
        <v>706</v>
      </c>
    </row>
    <row r="549" spans="1:5" x14ac:dyDescent="0.25">
      <c r="A549">
        <v>511000</v>
      </c>
      <c r="E549">
        <v>715</v>
      </c>
    </row>
    <row r="550" spans="1:5" x14ac:dyDescent="0.25">
      <c r="A550">
        <v>523000</v>
      </c>
      <c r="E550">
        <v>723.00000000000011</v>
      </c>
    </row>
    <row r="551" spans="1:5" x14ac:dyDescent="0.25">
      <c r="A551">
        <v>536000</v>
      </c>
      <c r="E551">
        <v>732</v>
      </c>
    </row>
    <row r="552" spans="1:5" x14ac:dyDescent="0.25">
      <c r="A552">
        <v>549000</v>
      </c>
      <c r="E552">
        <v>741</v>
      </c>
    </row>
    <row r="553" spans="1:5" x14ac:dyDescent="0.25">
      <c r="A553">
        <v>562000</v>
      </c>
      <c r="E553">
        <v>750</v>
      </c>
    </row>
    <row r="554" spans="1:5" x14ac:dyDescent="0.25">
      <c r="A554">
        <v>576000</v>
      </c>
      <c r="E554">
        <v>759</v>
      </c>
    </row>
    <row r="555" spans="1:5" x14ac:dyDescent="0.25">
      <c r="A555">
        <v>590000</v>
      </c>
      <c r="E555">
        <v>768</v>
      </c>
    </row>
    <row r="556" spans="1:5" x14ac:dyDescent="0.25">
      <c r="A556">
        <v>604000</v>
      </c>
      <c r="E556">
        <v>776.99999999999989</v>
      </c>
    </row>
    <row r="557" spans="1:5" x14ac:dyDescent="0.25">
      <c r="A557">
        <v>619000</v>
      </c>
      <c r="E557">
        <v>787</v>
      </c>
    </row>
    <row r="558" spans="1:5" x14ac:dyDescent="0.25">
      <c r="A558">
        <v>634000</v>
      </c>
      <c r="E558">
        <v>796</v>
      </c>
    </row>
    <row r="559" spans="1:5" x14ac:dyDescent="0.25">
      <c r="A559">
        <v>649000</v>
      </c>
      <c r="E559">
        <v>806.00000000000011</v>
      </c>
    </row>
    <row r="560" spans="1:5" x14ac:dyDescent="0.25">
      <c r="A560">
        <v>665000</v>
      </c>
      <c r="E560">
        <v>816</v>
      </c>
    </row>
    <row r="561" spans="1:5" x14ac:dyDescent="0.25">
      <c r="A561">
        <v>681000</v>
      </c>
      <c r="E561">
        <v>825</v>
      </c>
    </row>
    <row r="562" spans="1:5" x14ac:dyDescent="0.25">
      <c r="A562">
        <v>698000.00000000012</v>
      </c>
      <c r="E562">
        <v>835</v>
      </c>
    </row>
    <row r="563" spans="1:5" x14ac:dyDescent="0.25">
      <c r="A563">
        <v>715000</v>
      </c>
      <c r="E563">
        <v>845</v>
      </c>
    </row>
    <row r="564" spans="1:5" x14ac:dyDescent="0.25">
      <c r="A564">
        <v>732000</v>
      </c>
      <c r="E564">
        <v>856.00000000000011</v>
      </c>
    </row>
    <row r="565" spans="1:5" x14ac:dyDescent="0.25">
      <c r="A565">
        <v>750000</v>
      </c>
      <c r="E565">
        <v>866</v>
      </c>
    </row>
    <row r="566" spans="1:5" x14ac:dyDescent="0.25">
      <c r="A566">
        <v>768000</v>
      </c>
      <c r="E566">
        <v>876</v>
      </c>
    </row>
    <row r="567" spans="1:5" x14ac:dyDescent="0.25">
      <c r="A567">
        <v>787000</v>
      </c>
      <c r="E567">
        <v>886.99999999999989</v>
      </c>
    </row>
    <row r="568" spans="1:5" x14ac:dyDescent="0.25">
      <c r="A568">
        <v>806000.00000000012</v>
      </c>
      <c r="E568">
        <v>898.00000000000011</v>
      </c>
    </row>
    <row r="569" spans="1:5" x14ac:dyDescent="0.25">
      <c r="A569">
        <v>825000</v>
      </c>
      <c r="E569">
        <v>909</v>
      </c>
    </row>
    <row r="570" spans="1:5" x14ac:dyDescent="0.25">
      <c r="A570">
        <v>845000</v>
      </c>
      <c r="E570">
        <v>920</v>
      </c>
    </row>
    <row r="571" spans="1:5" x14ac:dyDescent="0.25">
      <c r="A571">
        <v>866000</v>
      </c>
      <c r="E571">
        <v>931.00000000000011</v>
      </c>
    </row>
    <row r="572" spans="1:5" x14ac:dyDescent="0.25">
      <c r="A572">
        <v>886999.99999999988</v>
      </c>
      <c r="E572">
        <v>942</v>
      </c>
    </row>
    <row r="573" spans="1:5" x14ac:dyDescent="0.25">
      <c r="A573">
        <v>909000</v>
      </c>
      <c r="E573">
        <v>953</v>
      </c>
    </row>
    <row r="574" spans="1:5" x14ac:dyDescent="0.25">
      <c r="A574">
        <v>931000.00000000012</v>
      </c>
      <c r="E574">
        <v>965</v>
      </c>
    </row>
    <row r="575" spans="1:5" x14ac:dyDescent="0.25">
      <c r="A575">
        <v>953000</v>
      </c>
      <c r="E575">
        <v>976</v>
      </c>
    </row>
    <row r="576" spans="1:5" x14ac:dyDescent="0.25">
      <c r="A576">
        <v>976000</v>
      </c>
      <c r="E576">
        <v>988.00000000000011</v>
      </c>
    </row>
    <row r="577" spans="1:5" x14ac:dyDescent="0.25">
      <c r="A577">
        <v>1000000</v>
      </c>
      <c r="E577">
        <v>1000</v>
      </c>
    </row>
    <row r="578" spans="1:5" x14ac:dyDescent="0.25">
      <c r="A578">
        <v>1020000</v>
      </c>
      <c r="E578">
        <v>1010</v>
      </c>
    </row>
    <row r="579" spans="1:5" x14ac:dyDescent="0.25">
      <c r="A579">
        <v>1050000</v>
      </c>
      <c r="E579">
        <v>1020</v>
      </c>
    </row>
    <row r="580" spans="1:5" x14ac:dyDescent="0.25">
      <c r="A580">
        <v>1070000.0000000002</v>
      </c>
      <c r="E580">
        <v>1040</v>
      </c>
    </row>
    <row r="581" spans="1:5" x14ac:dyDescent="0.25">
      <c r="A581">
        <v>1100000</v>
      </c>
      <c r="E581">
        <v>1050</v>
      </c>
    </row>
    <row r="582" spans="1:5" x14ac:dyDescent="0.25">
      <c r="A582">
        <v>1129999.9999999998</v>
      </c>
      <c r="E582">
        <v>1060.0000000000002</v>
      </c>
    </row>
    <row r="583" spans="1:5" x14ac:dyDescent="0.25">
      <c r="A583">
        <v>1150000</v>
      </c>
      <c r="E583">
        <v>1070.0000000000002</v>
      </c>
    </row>
    <row r="584" spans="1:5" x14ac:dyDescent="0.25">
      <c r="A584">
        <v>1179999.9999999998</v>
      </c>
      <c r="E584">
        <v>1090</v>
      </c>
    </row>
    <row r="585" spans="1:5" x14ac:dyDescent="0.25">
      <c r="A585">
        <v>1210000</v>
      </c>
      <c r="E585">
        <v>1100</v>
      </c>
    </row>
    <row r="586" spans="1:5" x14ac:dyDescent="0.25">
      <c r="A586">
        <v>1240000</v>
      </c>
      <c r="E586">
        <v>1110.0000000000002</v>
      </c>
    </row>
    <row r="587" spans="1:5" x14ac:dyDescent="0.25">
      <c r="A587">
        <v>1270000</v>
      </c>
      <c r="E587">
        <v>1129.9999999999998</v>
      </c>
    </row>
    <row r="588" spans="1:5" x14ac:dyDescent="0.25">
      <c r="A588">
        <v>1300000</v>
      </c>
      <c r="E588">
        <v>1139.9999999999998</v>
      </c>
    </row>
    <row r="589" spans="1:5" x14ac:dyDescent="0.25">
      <c r="A589">
        <v>1330000</v>
      </c>
      <c r="E589">
        <v>1150</v>
      </c>
    </row>
    <row r="590" spans="1:5" x14ac:dyDescent="0.25">
      <c r="A590">
        <v>1370000</v>
      </c>
      <c r="E590">
        <v>1170</v>
      </c>
    </row>
    <row r="591" spans="1:5" x14ac:dyDescent="0.25">
      <c r="A591">
        <v>1400000</v>
      </c>
      <c r="E591">
        <v>1179.9999999999998</v>
      </c>
    </row>
    <row r="592" spans="1:5" x14ac:dyDescent="0.25">
      <c r="A592">
        <v>1430000</v>
      </c>
      <c r="E592">
        <v>1200</v>
      </c>
    </row>
    <row r="593" spans="1:5" x14ac:dyDescent="0.25">
      <c r="A593">
        <v>1470000</v>
      </c>
      <c r="E593">
        <v>1210</v>
      </c>
    </row>
    <row r="594" spans="1:5" x14ac:dyDescent="0.25">
      <c r="A594">
        <v>1500000</v>
      </c>
      <c r="E594">
        <v>1230</v>
      </c>
    </row>
    <row r="595" spans="1:5" x14ac:dyDescent="0.25">
      <c r="A595">
        <v>1540000</v>
      </c>
      <c r="E595">
        <v>1240</v>
      </c>
    </row>
    <row r="596" spans="1:5" x14ac:dyDescent="0.25">
      <c r="A596">
        <v>1580000</v>
      </c>
      <c r="E596">
        <v>1260</v>
      </c>
    </row>
    <row r="597" spans="1:5" x14ac:dyDescent="0.25">
      <c r="A597">
        <v>1620000.0000000002</v>
      </c>
      <c r="E597">
        <v>1270</v>
      </c>
    </row>
    <row r="598" spans="1:5" x14ac:dyDescent="0.25">
      <c r="A598">
        <v>1650000</v>
      </c>
      <c r="E598">
        <v>1290</v>
      </c>
    </row>
    <row r="599" spans="1:5" x14ac:dyDescent="0.25">
      <c r="A599">
        <v>1690000</v>
      </c>
      <c r="E599">
        <v>1300</v>
      </c>
    </row>
    <row r="600" spans="1:5" x14ac:dyDescent="0.25">
      <c r="A600">
        <v>1740000</v>
      </c>
      <c r="E600">
        <v>1320</v>
      </c>
    </row>
    <row r="601" spans="1:5" x14ac:dyDescent="0.25">
      <c r="A601">
        <v>1780000</v>
      </c>
      <c r="E601">
        <v>1330</v>
      </c>
    </row>
    <row r="602" spans="1:5" x14ac:dyDescent="0.25">
      <c r="A602">
        <v>1820000</v>
      </c>
      <c r="E602">
        <v>1350</v>
      </c>
    </row>
    <row r="603" spans="1:5" x14ac:dyDescent="0.25">
      <c r="A603">
        <v>1870000.0000000002</v>
      </c>
      <c r="E603">
        <v>1370</v>
      </c>
    </row>
    <row r="604" spans="1:5" x14ac:dyDescent="0.25">
      <c r="A604">
        <v>1909999.9999999998</v>
      </c>
      <c r="E604">
        <v>1380</v>
      </c>
    </row>
    <row r="605" spans="1:5" x14ac:dyDescent="0.25">
      <c r="A605">
        <v>1960000</v>
      </c>
      <c r="E605">
        <v>1400</v>
      </c>
    </row>
    <row r="606" spans="1:5" x14ac:dyDescent="0.25">
      <c r="A606">
        <v>2000000</v>
      </c>
      <c r="E606">
        <v>1420</v>
      </c>
    </row>
    <row r="607" spans="1:5" x14ac:dyDescent="0.25">
      <c r="A607">
        <v>2050000</v>
      </c>
      <c r="E607">
        <v>1430</v>
      </c>
    </row>
    <row r="608" spans="1:5" x14ac:dyDescent="0.25">
      <c r="A608">
        <v>2100000</v>
      </c>
      <c r="E608">
        <v>1450</v>
      </c>
    </row>
    <row r="609" spans="1:5" x14ac:dyDescent="0.25">
      <c r="A609">
        <v>2150000</v>
      </c>
      <c r="E609">
        <v>1470</v>
      </c>
    </row>
    <row r="610" spans="1:5" x14ac:dyDescent="0.25">
      <c r="A610">
        <v>2210000</v>
      </c>
      <c r="E610">
        <v>1490</v>
      </c>
    </row>
    <row r="611" spans="1:5" x14ac:dyDescent="0.25">
      <c r="A611">
        <v>2259999.9999999995</v>
      </c>
      <c r="E611">
        <v>1500</v>
      </c>
    </row>
    <row r="612" spans="1:5" x14ac:dyDescent="0.25">
      <c r="A612">
        <v>2320000</v>
      </c>
      <c r="E612">
        <v>1520</v>
      </c>
    </row>
    <row r="613" spans="1:5" x14ac:dyDescent="0.25">
      <c r="A613">
        <v>2370000.0000000005</v>
      </c>
      <c r="E613">
        <v>1540</v>
      </c>
    </row>
    <row r="614" spans="1:5" x14ac:dyDescent="0.25">
      <c r="A614">
        <v>2430000</v>
      </c>
      <c r="E614">
        <v>1560</v>
      </c>
    </row>
    <row r="615" spans="1:5" x14ac:dyDescent="0.25">
      <c r="A615">
        <v>2490000.0000000005</v>
      </c>
      <c r="E615">
        <v>1580</v>
      </c>
    </row>
    <row r="616" spans="1:5" x14ac:dyDescent="0.25">
      <c r="A616">
        <v>2550000</v>
      </c>
      <c r="E616">
        <v>1600</v>
      </c>
    </row>
    <row r="617" spans="1:5" x14ac:dyDescent="0.25">
      <c r="A617">
        <v>2610000</v>
      </c>
      <c r="E617">
        <v>1620.0000000000002</v>
      </c>
    </row>
    <row r="618" spans="1:5" x14ac:dyDescent="0.25">
      <c r="A618">
        <v>2670000</v>
      </c>
      <c r="E618">
        <v>1640</v>
      </c>
    </row>
    <row r="619" spans="1:5" x14ac:dyDescent="0.25">
      <c r="A619">
        <v>2740000</v>
      </c>
      <c r="E619">
        <v>1650</v>
      </c>
    </row>
    <row r="620" spans="1:5" x14ac:dyDescent="0.25">
      <c r="A620">
        <v>2800000</v>
      </c>
      <c r="E620">
        <v>1670</v>
      </c>
    </row>
    <row r="621" spans="1:5" x14ac:dyDescent="0.25">
      <c r="A621">
        <v>2870000</v>
      </c>
      <c r="E621">
        <v>1690</v>
      </c>
    </row>
    <row r="622" spans="1:5" x14ac:dyDescent="0.25">
      <c r="A622">
        <v>2940000</v>
      </c>
      <c r="E622">
        <v>1720</v>
      </c>
    </row>
    <row r="623" spans="1:5" x14ac:dyDescent="0.25">
      <c r="A623">
        <v>3010000</v>
      </c>
      <c r="E623">
        <v>1740</v>
      </c>
    </row>
    <row r="624" spans="1:5" x14ac:dyDescent="0.25">
      <c r="A624">
        <v>3090000</v>
      </c>
      <c r="E624">
        <v>1760</v>
      </c>
    </row>
    <row r="625" spans="1:5" x14ac:dyDescent="0.25">
      <c r="A625">
        <v>3160000</v>
      </c>
      <c r="E625">
        <v>1780</v>
      </c>
    </row>
    <row r="626" spans="1:5" x14ac:dyDescent="0.25">
      <c r="A626">
        <v>3240000.0000000005</v>
      </c>
      <c r="E626">
        <v>1800</v>
      </c>
    </row>
    <row r="627" spans="1:5" x14ac:dyDescent="0.25">
      <c r="A627">
        <v>3319999.9999999995</v>
      </c>
      <c r="E627">
        <v>1820</v>
      </c>
    </row>
    <row r="628" spans="1:5" x14ac:dyDescent="0.25">
      <c r="A628">
        <v>3400000</v>
      </c>
      <c r="E628">
        <v>1840.0000000000002</v>
      </c>
    </row>
    <row r="629" spans="1:5" x14ac:dyDescent="0.25">
      <c r="A629">
        <v>3480000</v>
      </c>
      <c r="E629">
        <v>1870.0000000000002</v>
      </c>
    </row>
    <row r="630" spans="1:5" x14ac:dyDescent="0.25">
      <c r="A630">
        <v>3569999.9999999995</v>
      </c>
      <c r="E630">
        <v>1890</v>
      </c>
    </row>
    <row r="631" spans="1:5" x14ac:dyDescent="0.25">
      <c r="A631">
        <v>3650000</v>
      </c>
      <c r="E631">
        <v>1909.9999999999998</v>
      </c>
    </row>
    <row r="632" spans="1:5" x14ac:dyDescent="0.25">
      <c r="A632">
        <v>3740000.0000000005</v>
      </c>
      <c r="E632">
        <v>1930</v>
      </c>
    </row>
    <row r="633" spans="1:5" x14ac:dyDescent="0.25">
      <c r="A633">
        <v>3830000</v>
      </c>
      <c r="E633">
        <v>1960</v>
      </c>
    </row>
    <row r="634" spans="1:5" x14ac:dyDescent="0.25">
      <c r="A634">
        <v>3920000</v>
      </c>
      <c r="E634">
        <v>1980</v>
      </c>
    </row>
    <row r="635" spans="1:5" x14ac:dyDescent="0.25">
      <c r="A635">
        <v>4019999.9999999995</v>
      </c>
      <c r="E635">
        <v>2000</v>
      </c>
    </row>
    <row r="636" spans="1:5" x14ac:dyDescent="0.25">
      <c r="A636">
        <v>4120000</v>
      </c>
      <c r="E636">
        <v>2029.9999999999998</v>
      </c>
    </row>
    <row r="637" spans="1:5" x14ac:dyDescent="0.25">
      <c r="A637">
        <v>4219999.9999999991</v>
      </c>
      <c r="E637">
        <v>2050</v>
      </c>
    </row>
    <row r="638" spans="1:5" x14ac:dyDescent="0.25">
      <c r="A638">
        <v>4320000</v>
      </c>
      <c r="E638">
        <v>2080</v>
      </c>
    </row>
    <row r="639" spans="1:5" x14ac:dyDescent="0.25">
      <c r="A639">
        <v>4420000</v>
      </c>
      <c r="E639">
        <v>2100</v>
      </c>
    </row>
    <row r="640" spans="1:5" x14ac:dyDescent="0.25">
      <c r="A640">
        <v>4530000.0000000009</v>
      </c>
      <c r="E640">
        <v>2129.9999999999995</v>
      </c>
    </row>
    <row r="641" spans="1:5" x14ac:dyDescent="0.25">
      <c r="A641">
        <v>4640000</v>
      </c>
      <c r="E641">
        <v>2150</v>
      </c>
    </row>
    <row r="642" spans="1:5" x14ac:dyDescent="0.25">
      <c r="A642">
        <v>4750000</v>
      </c>
      <c r="E642">
        <v>2180</v>
      </c>
    </row>
    <row r="643" spans="1:5" x14ac:dyDescent="0.25">
      <c r="A643">
        <v>4870000</v>
      </c>
      <c r="E643">
        <v>2210</v>
      </c>
    </row>
    <row r="644" spans="1:5" x14ac:dyDescent="0.25">
      <c r="A644">
        <v>4990000.0000000009</v>
      </c>
      <c r="E644">
        <v>2230</v>
      </c>
    </row>
    <row r="645" spans="1:5" x14ac:dyDescent="0.25">
      <c r="A645">
        <v>5110000</v>
      </c>
      <c r="E645">
        <v>2259.9999999999995</v>
      </c>
    </row>
    <row r="646" spans="1:5" x14ac:dyDescent="0.25">
      <c r="A646">
        <v>5230000</v>
      </c>
      <c r="E646">
        <v>2290</v>
      </c>
    </row>
    <row r="647" spans="1:5" x14ac:dyDescent="0.25">
      <c r="A647">
        <v>5360000</v>
      </c>
      <c r="E647">
        <v>2320</v>
      </c>
    </row>
    <row r="648" spans="1:5" x14ac:dyDescent="0.25">
      <c r="A648">
        <v>5490000</v>
      </c>
      <c r="E648">
        <v>2340</v>
      </c>
    </row>
    <row r="649" spans="1:5" x14ac:dyDescent="0.25">
      <c r="A649">
        <v>5620000</v>
      </c>
      <c r="E649">
        <v>2370.0000000000005</v>
      </c>
    </row>
    <row r="650" spans="1:5" x14ac:dyDescent="0.25">
      <c r="A650">
        <v>5760000</v>
      </c>
      <c r="E650">
        <v>2400</v>
      </c>
    </row>
    <row r="651" spans="1:5" x14ac:dyDescent="0.25">
      <c r="A651">
        <v>5900000</v>
      </c>
      <c r="E651">
        <v>2430</v>
      </c>
    </row>
    <row r="652" spans="1:5" x14ac:dyDescent="0.25">
      <c r="A652">
        <v>6040000</v>
      </c>
      <c r="E652">
        <v>2460</v>
      </c>
    </row>
    <row r="653" spans="1:5" x14ac:dyDescent="0.25">
      <c r="A653">
        <v>6190000</v>
      </c>
      <c r="E653">
        <v>2490.0000000000005</v>
      </c>
    </row>
    <row r="654" spans="1:5" x14ac:dyDescent="0.25">
      <c r="A654">
        <v>6340000</v>
      </c>
      <c r="E654">
        <v>2520</v>
      </c>
    </row>
    <row r="655" spans="1:5" x14ac:dyDescent="0.25">
      <c r="A655">
        <v>6490000</v>
      </c>
      <c r="E655">
        <v>2550</v>
      </c>
    </row>
    <row r="656" spans="1:5" x14ac:dyDescent="0.25">
      <c r="A656">
        <v>6650000</v>
      </c>
      <c r="E656">
        <v>2580</v>
      </c>
    </row>
    <row r="657" spans="1:5" x14ac:dyDescent="0.25">
      <c r="A657">
        <v>6810000</v>
      </c>
      <c r="E657">
        <v>2610</v>
      </c>
    </row>
    <row r="658" spans="1:5" x14ac:dyDescent="0.25">
      <c r="A658">
        <v>6980000.0000000009</v>
      </c>
      <c r="E658">
        <v>2640</v>
      </c>
    </row>
    <row r="659" spans="1:5" x14ac:dyDescent="0.25">
      <c r="A659">
        <v>7150000</v>
      </c>
      <c r="E659">
        <v>2670</v>
      </c>
    </row>
    <row r="660" spans="1:5" x14ac:dyDescent="0.25">
      <c r="A660">
        <v>7320000</v>
      </c>
      <c r="E660">
        <v>2710</v>
      </c>
    </row>
    <row r="661" spans="1:5" x14ac:dyDescent="0.25">
      <c r="A661">
        <v>7500000</v>
      </c>
      <c r="E661">
        <v>2740</v>
      </c>
    </row>
    <row r="662" spans="1:5" x14ac:dyDescent="0.25">
      <c r="A662">
        <v>7680000</v>
      </c>
      <c r="E662">
        <v>2770</v>
      </c>
    </row>
    <row r="663" spans="1:5" x14ac:dyDescent="0.25">
      <c r="A663">
        <v>7870000</v>
      </c>
      <c r="E663">
        <v>2800</v>
      </c>
    </row>
    <row r="664" spans="1:5" x14ac:dyDescent="0.25">
      <c r="A664">
        <v>8060000.0000000009</v>
      </c>
      <c r="E664">
        <v>2840</v>
      </c>
    </row>
    <row r="665" spans="1:5" x14ac:dyDescent="0.25">
      <c r="A665">
        <v>8250000</v>
      </c>
      <c r="E665">
        <v>2870</v>
      </c>
    </row>
    <row r="666" spans="1:5" x14ac:dyDescent="0.25">
      <c r="A666">
        <v>8450000</v>
      </c>
      <c r="E666">
        <v>2910</v>
      </c>
    </row>
    <row r="667" spans="1:5" x14ac:dyDescent="0.25">
      <c r="A667">
        <v>8660000</v>
      </c>
      <c r="E667">
        <v>2940</v>
      </c>
    </row>
    <row r="668" spans="1:5" x14ac:dyDescent="0.25">
      <c r="A668">
        <v>8869999.9999999981</v>
      </c>
      <c r="E668">
        <v>2980</v>
      </c>
    </row>
    <row r="669" spans="1:5" x14ac:dyDescent="0.25">
      <c r="A669">
        <v>9090000</v>
      </c>
      <c r="E669">
        <v>3010</v>
      </c>
    </row>
    <row r="670" spans="1:5" x14ac:dyDescent="0.25">
      <c r="A670">
        <v>9310000.0000000019</v>
      </c>
      <c r="E670">
        <v>3050</v>
      </c>
    </row>
    <row r="671" spans="1:5" x14ac:dyDescent="0.25">
      <c r="A671">
        <v>9530000</v>
      </c>
      <c r="E671">
        <v>3090</v>
      </c>
    </row>
    <row r="672" spans="1:5" x14ac:dyDescent="0.25">
      <c r="A672">
        <v>9760000</v>
      </c>
      <c r="E672">
        <v>3120</v>
      </c>
    </row>
    <row r="673" spans="5:5" x14ac:dyDescent="0.25">
      <c r="E673">
        <v>3160</v>
      </c>
    </row>
    <row r="674" spans="5:5" x14ac:dyDescent="0.25">
      <c r="E674">
        <v>3200</v>
      </c>
    </row>
    <row r="675" spans="5:5" x14ac:dyDescent="0.25">
      <c r="E675">
        <v>3240.0000000000005</v>
      </c>
    </row>
    <row r="676" spans="5:5" x14ac:dyDescent="0.25">
      <c r="E676">
        <v>3280</v>
      </c>
    </row>
    <row r="677" spans="5:5" x14ac:dyDescent="0.25">
      <c r="E677">
        <v>3319.9999999999995</v>
      </c>
    </row>
    <row r="678" spans="5:5" x14ac:dyDescent="0.25">
      <c r="E678">
        <v>3360</v>
      </c>
    </row>
    <row r="679" spans="5:5" x14ac:dyDescent="0.25">
      <c r="E679">
        <v>3400</v>
      </c>
    </row>
    <row r="680" spans="5:5" x14ac:dyDescent="0.25">
      <c r="E680">
        <v>3440</v>
      </c>
    </row>
    <row r="681" spans="5:5" x14ac:dyDescent="0.25">
      <c r="E681">
        <v>3480</v>
      </c>
    </row>
    <row r="682" spans="5:5" x14ac:dyDescent="0.25">
      <c r="E682">
        <v>3520</v>
      </c>
    </row>
    <row r="683" spans="5:5" x14ac:dyDescent="0.25">
      <c r="E683">
        <v>3569.9999999999995</v>
      </c>
    </row>
    <row r="684" spans="5:5" x14ac:dyDescent="0.25">
      <c r="E684">
        <v>3610</v>
      </c>
    </row>
    <row r="685" spans="5:5" x14ac:dyDescent="0.25">
      <c r="E685">
        <v>3650</v>
      </c>
    </row>
    <row r="686" spans="5:5" x14ac:dyDescent="0.25">
      <c r="E686">
        <v>3700</v>
      </c>
    </row>
    <row r="687" spans="5:5" x14ac:dyDescent="0.25">
      <c r="E687">
        <v>3740.0000000000005</v>
      </c>
    </row>
    <row r="688" spans="5:5" x14ac:dyDescent="0.25">
      <c r="E688">
        <v>3790</v>
      </c>
    </row>
    <row r="689" spans="5:5" x14ac:dyDescent="0.25">
      <c r="E689">
        <v>3830</v>
      </c>
    </row>
    <row r="690" spans="5:5" x14ac:dyDescent="0.25">
      <c r="E690">
        <v>3880</v>
      </c>
    </row>
    <row r="691" spans="5:5" x14ac:dyDescent="0.25">
      <c r="E691">
        <v>3920</v>
      </c>
    </row>
    <row r="692" spans="5:5" x14ac:dyDescent="0.25">
      <c r="E692">
        <v>3970</v>
      </c>
    </row>
    <row r="693" spans="5:5" x14ac:dyDescent="0.25">
      <c r="E693">
        <v>4019.9999999999995</v>
      </c>
    </row>
    <row r="694" spans="5:5" x14ac:dyDescent="0.25">
      <c r="E694">
        <v>4070</v>
      </c>
    </row>
    <row r="695" spans="5:5" x14ac:dyDescent="0.25">
      <c r="E695">
        <v>4120</v>
      </c>
    </row>
    <row r="696" spans="5:5" x14ac:dyDescent="0.25">
      <c r="E696">
        <v>4170</v>
      </c>
    </row>
    <row r="697" spans="5:5" x14ac:dyDescent="0.25">
      <c r="E697">
        <v>4219.9999999999991</v>
      </c>
    </row>
    <row r="698" spans="5:5" x14ac:dyDescent="0.25">
      <c r="E698">
        <v>4269.9999999999991</v>
      </c>
    </row>
    <row r="699" spans="5:5" x14ac:dyDescent="0.25">
      <c r="E699">
        <v>4320</v>
      </c>
    </row>
    <row r="700" spans="5:5" x14ac:dyDescent="0.25">
      <c r="E700">
        <v>4370</v>
      </c>
    </row>
    <row r="701" spans="5:5" x14ac:dyDescent="0.25">
      <c r="E701">
        <v>4420</v>
      </c>
    </row>
    <row r="702" spans="5:5" x14ac:dyDescent="0.25">
      <c r="E702">
        <v>4480.0000000000009</v>
      </c>
    </row>
    <row r="703" spans="5:5" x14ac:dyDescent="0.25">
      <c r="E703">
        <v>4530.0000000000009</v>
      </c>
    </row>
    <row r="704" spans="5:5" x14ac:dyDescent="0.25">
      <c r="E704">
        <v>4590</v>
      </c>
    </row>
    <row r="705" spans="5:5" x14ac:dyDescent="0.25">
      <c r="E705">
        <v>4640</v>
      </c>
    </row>
    <row r="706" spans="5:5" x14ac:dyDescent="0.25">
      <c r="E706">
        <v>4700</v>
      </c>
    </row>
    <row r="707" spans="5:5" x14ac:dyDescent="0.25">
      <c r="E707">
        <v>4750</v>
      </c>
    </row>
    <row r="708" spans="5:5" x14ac:dyDescent="0.25">
      <c r="E708">
        <v>4809.9999999999991</v>
      </c>
    </row>
    <row r="709" spans="5:5" x14ac:dyDescent="0.25">
      <c r="E709">
        <v>4870</v>
      </c>
    </row>
    <row r="710" spans="5:5" x14ac:dyDescent="0.25">
      <c r="E710">
        <v>4930</v>
      </c>
    </row>
    <row r="711" spans="5:5" x14ac:dyDescent="0.25">
      <c r="E711">
        <v>4990.0000000000009</v>
      </c>
    </row>
    <row r="712" spans="5:5" x14ac:dyDescent="0.25">
      <c r="E712">
        <v>5050</v>
      </c>
    </row>
    <row r="713" spans="5:5" x14ac:dyDescent="0.25">
      <c r="E713">
        <v>5110</v>
      </c>
    </row>
    <row r="714" spans="5:5" x14ac:dyDescent="0.25">
      <c r="E714">
        <v>5170</v>
      </c>
    </row>
    <row r="715" spans="5:5" x14ac:dyDescent="0.25">
      <c r="E715">
        <v>5230</v>
      </c>
    </row>
    <row r="716" spans="5:5" x14ac:dyDescent="0.25">
      <c r="E716">
        <v>5300</v>
      </c>
    </row>
    <row r="717" spans="5:5" x14ac:dyDescent="0.25">
      <c r="E717">
        <v>5360</v>
      </c>
    </row>
    <row r="718" spans="5:5" x14ac:dyDescent="0.25">
      <c r="E718">
        <v>5420</v>
      </c>
    </row>
    <row r="719" spans="5:5" x14ac:dyDescent="0.25">
      <c r="E719">
        <v>5490</v>
      </c>
    </row>
    <row r="720" spans="5:5" x14ac:dyDescent="0.25">
      <c r="E720">
        <v>5560</v>
      </c>
    </row>
    <row r="721" spans="5:5" x14ac:dyDescent="0.25">
      <c r="E721">
        <v>5620</v>
      </c>
    </row>
    <row r="722" spans="5:5" x14ac:dyDescent="0.25">
      <c r="E722">
        <v>5690</v>
      </c>
    </row>
    <row r="723" spans="5:5" x14ac:dyDescent="0.25">
      <c r="E723">
        <v>5760</v>
      </c>
    </row>
    <row r="724" spans="5:5" x14ac:dyDescent="0.25">
      <c r="E724">
        <v>5830</v>
      </c>
    </row>
    <row r="725" spans="5:5" x14ac:dyDescent="0.25">
      <c r="E725">
        <v>5900</v>
      </c>
    </row>
    <row r="726" spans="5:5" x14ac:dyDescent="0.25">
      <c r="E726">
        <v>5970</v>
      </c>
    </row>
    <row r="727" spans="5:5" x14ac:dyDescent="0.25">
      <c r="E727">
        <v>6040</v>
      </c>
    </row>
    <row r="728" spans="5:5" x14ac:dyDescent="0.25">
      <c r="E728">
        <v>6120</v>
      </c>
    </row>
    <row r="729" spans="5:5" x14ac:dyDescent="0.25">
      <c r="E729">
        <v>6190</v>
      </c>
    </row>
    <row r="730" spans="5:5" x14ac:dyDescent="0.25">
      <c r="E730">
        <v>6260</v>
      </c>
    </row>
    <row r="731" spans="5:5" x14ac:dyDescent="0.25">
      <c r="E731">
        <v>6340</v>
      </c>
    </row>
    <row r="732" spans="5:5" x14ac:dyDescent="0.25">
      <c r="E732">
        <v>6420</v>
      </c>
    </row>
    <row r="733" spans="5:5" x14ac:dyDescent="0.25">
      <c r="E733">
        <v>6490</v>
      </c>
    </row>
    <row r="734" spans="5:5" x14ac:dyDescent="0.25">
      <c r="E734">
        <v>6570</v>
      </c>
    </row>
    <row r="735" spans="5:5" x14ac:dyDescent="0.25">
      <c r="E735">
        <v>6650</v>
      </c>
    </row>
    <row r="736" spans="5:5" x14ac:dyDescent="0.25">
      <c r="E736">
        <v>6730.0000000000009</v>
      </c>
    </row>
    <row r="737" spans="5:5" x14ac:dyDescent="0.25">
      <c r="E737">
        <v>6810</v>
      </c>
    </row>
    <row r="738" spans="5:5" x14ac:dyDescent="0.25">
      <c r="E738">
        <v>6900</v>
      </c>
    </row>
    <row r="739" spans="5:5" x14ac:dyDescent="0.25">
      <c r="E739">
        <v>6980.0000000000009</v>
      </c>
    </row>
    <row r="740" spans="5:5" x14ac:dyDescent="0.25">
      <c r="E740">
        <v>7060</v>
      </c>
    </row>
    <row r="741" spans="5:5" x14ac:dyDescent="0.25">
      <c r="E741">
        <v>7150</v>
      </c>
    </row>
    <row r="742" spans="5:5" x14ac:dyDescent="0.25">
      <c r="E742">
        <v>7230.0000000000009</v>
      </c>
    </row>
    <row r="743" spans="5:5" x14ac:dyDescent="0.25">
      <c r="E743">
        <v>7320</v>
      </c>
    </row>
    <row r="744" spans="5:5" x14ac:dyDescent="0.25">
      <c r="E744">
        <v>7410</v>
      </c>
    </row>
    <row r="745" spans="5:5" x14ac:dyDescent="0.25">
      <c r="E745">
        <v>7500</v>
      </c>
    </row>
    <row r="746" spans="5:5" x14ac:dyDescent="0.25">
      <c r="E746">
        <v>7590</v>
      </c>
    </row>
    <row r="747" spans="5:5" x14ac:dyDescent="0.25">
      <c r="E747">
        <v>7680</v>
      </c>
    </row>
    <row r="748" spans="5:5" x14ac:dyDescent="0.25">
      <c r="E748">
        <v>7769.9999999999991</v>
      </c>
    </row>
    <row r="749" spans="5:5" x14ac:dyDescent="0.25">
      <c r="E749">
        <v>7870</v>
      </c>
    </row>
    <row r="750" spans="5:5" x14ac:dyDescent="0.25">
      <c r="E750">
        <v>7960</v>
      </c>
    </row>
    <row r="751" spans="5:5" x14ac:dyDescent="0.25">
      <c r="E751">
        <v>8060.0000000000009</v>
      </c>
    </row>
    <row r="752" spans="5:5" x14ac:dyDescent="0.25">
      <c r="E752">
        <v>8160</v>
      </c>
    </row>
    <row r="753" spans="5:5" x14ac:dyDescent="0.25">
      <c r="E753">
        <v>8250</v>
      </c>
    </row>
    <row r="754" spans="5:5" x14ac:dyDescent="0.25">
      <c r="E754">
        <v>8350</v>
      </c>
    </row>
    <row r="755" spans="5:5" x14ac:dyDescent="0.25">
      <c r="E755">
        <v>8450</v>
      </c>
    </row>
    <row r="756" spans="5:5" x14ac:dyDescent="0.25">
      <c r="E756">
        <v>8560.0000000000018</v>
      </c>
    </row>
    <row r="757" spans="5:5" x14ac:dyDescent="0.25">
      <c r="E757">
        <v>8660</v>
      </c>
    </row>
    <row r="758" spans="5:5" x14ac:dyDescent="0.25">
      <c r="E758">
        <v>8760</v>
      </c>
    </row>
    <row r="759" spans="5:5" x14ac:dyDescent="0.25">
      <c r="E759">
        <v>8869.9999999999982</v>
      </c>
    </row>
    <row r="760" spans="5:5" x14ac:dyDescent="0.25">
      <c r="E760">
        <v>8980.0000000000018</v>
      </c>
    </row>
    <row r="761" spans="5:5" x14ac:dyDescent="0.25">
      <c r="E761">
        <v>9090</v>
      </c>
    </row>
    <row r="762" spans="5:5" x14ac:dyDescent="0.25">
      <c r="E762">
        <v>9200</v>
      </c>
    </row>
    <row r="763" spans="5:5" x14ac:dyDescent="0.25">
      <c r="E763">
        <v>9310.0000000000018</v>
      </c>
    </row>
    <row r="764" spans="5:5" x14ac:dyDescent="0.25">
      <c r="E764">
        <v>9420</v>
      </c>
    </row>
    <row r="765" spans="5:5" x14ac:dyDescent="0.25">
      <c r="E765">
        <v>9530</v>
      </c>
    </row>
    <row r="766" spans="5:5" x14ac:dyDescent="0.25">
      <c r="E766">
        <v>9650</v>
      </c>
    </row>
    <row r="767" spans="5:5" x14ac:dyDescent="0.25">
      <c r="E767">
        <v>9760</v>
      </c>
    </row>
    <row r="768" spans="5:5" x14ac:dyDescent="0.25">
      <c r="E768">
        <v>9880.0000000000018</v>
      </c>
    </row>
    <row r="769" spans="5:5" x14ac:dyDescent="0.25">
      <c r="E769">
        <v>10000</v>
      </c>
    </row>
    <row r="770" spans="5:5" x14ac:dyDescent="0.25">
      <c r="E770">
        <v>10100</v>
      </c>
    </row>
    <row r="771" spans="5:5" x14ac:dyDescent="0.25">
      <c r="E771">
        <v>10200</v>
      </c>
    </row>
    <row r="772" spans="5:5" x14ac:dyDescent="0.25">
      <c r="E772">
        <v>10400</v>
      </c>
    </row>
    <row r="773" spans="5:5" x14ac:dyDescent="0.25">
      <c r="E773">
        <v>10500</v>
      </c>
    </row>
    <row r="774" spans="5:5" x14ac:dyDescent="0.25">
      <c r="E774">
        <v>10600.000000000002</v>
      </c>
    </row>
    <row r="775" spans="5:5" x14ac:dyDescent="0.25">
      <c r="E775">
        <v>10700.000000000002</v>
      </c>
    </row>
    <row r="776" spans="5:5" x14ac:dyDescent="0.25">
      <c r="E776">
        <v>10900</v>
      </c>
    </row>
    <row r="777" spans="5:5" x14ac:dyDescent="0.25">
      <c r="E777">
        <v>11000</v>
      </c>
    </row>
    <row r="778" spans="5:5" x14ac:dyDescent="0.25">
      <c r="E778">
        <v>11100.000000000002</v>
      </c>
    </row>
    <row r="779" spans="5:5" x14ac:dyDescent="0.25">
      <c r="E779">
        <v>11299.999999999998</v>
      </c>
    </row>
    <row r="780" spans="5:5" x14ac:dyDescent="0.25">
      <c r="E780">
        <v>11399.999999999998</v>
      </c>
    </row>
    <row r="781" spans="5:5" x14ac:dyDescent="0.25">
      <c r="E781">
        <v>11500</v>
      </c>
    </row>
    <row r="782" spans="5:5" x14ac:dyDescent="0.25">
      <c r="E782">
        <v>11700</v>
      </c>
    </row>
    <row r="783" spans="5:5" x14ac:dyDescent="0.25">
      <c r="E783">
        <v>11799.999999999998</v>
      </c>
    </row>
    <row r="784" spans="5:5" x14ac:dyDescent="0.25">
      <c r="E784">
        <v>12000</v>
      </c>
    </row>
    <row r="785" spans="5:5" x14ac:dyDescent="0.25">
      <c r="E785">
        <v>12100</v>
      </c>
    </row>
    <row r="786" spans="5:5" x14ac:dyDescent="0.25">
      <c r="E786">
        <v>12300</v>
      </c>
    </row>
    <row r="787" spans="5:5" x14ac:dyDescent="0.25">
      <c r="E787">
        <v>12400</v>
      </c>
    </row>
    <row r="788" spans="5:5" x14ac:dyDescent="0.25">
      <c r="E788">
        <v>12600</v>
      </c>
    </row>
    <row r="789" spans="5:5" x14ac:dyDescent="0.25">
      <c r="E789">
        <v>12700</v>
      </c>
    </row>
    <row r="790" spans="5:5" x14ac:dyDescent="0.25">
      <c r="E790">
        <v>12900</v>
      </c>
    </row>
    <row r="791" spans="5:5" x14ac:dyDescent="0.25">
      <c r="E791">
        <v>13000</v>
      </c>
    </row>
    <row r="792" spans="5:5" x14ac:dyDescent="0.25">
      <c r="E792">
        <v>13200</v>
      </c>
    </row>
    <row r="793" spans="5:5" x14ac:dyDescent="0.25">
      <c r="E793">
        <v>13300</v>
      </c>
    </row>
    <row r="794" spans="5:5" x14ac:dyDescent="0.25">
      <c r="E794">
        <v>13500</v>
      </c>
    </row>
    <row r="795" spans="5:5" x14ac:dyDescent="0.25">
      <c r="E795">
        <v>13700</v>
      </c>
    </row>
    <row r="796" spans="5:5" x14ac:dyDescent="0.25">
      <c r="E796">
        <v>13800</v>
      </c>
    </row>
    <row r="797" spans="5:5" x14ac:dyDescent="0.25">
      <c r="E797">
        <v>14000</v>
      </c>
    </row>
    <row r="798" spans="5:5" x14ac:dyDescent="0.25">
      <c r="E798">
        <v>14200</v>
      </c>
    </row>
    <row r="799" spans="5:5" x14ac:dyDescent="0.25">
      <c r="E799">
        <v>14300</v>
      </c>
    </row>
    <row r="800" spans="5:5" x14ac:dyDescent="0.25">
      <c r="E800">
        <v>14500</v>
      </c>
    </row>
    <row r="801" spans="5:5" x14ac:dyDescent="0.25">
      <c r="E801">
        <v>14700</v>
      </c>
    </row>
    <row r="802" spans="5:5" x14ac:dyDescent="0.25">
      <c r="E802">
        <v>14900</v>
      </c>
    </row>
    <row r="803" spans="5:5" x14ac:dyDescent="0.25">
      <c r="E803">
        <v>15000</v>
      </c>
    </row>
    <row r="804" spans="5:5" x14ac:dyDescent="0.25">
      <c r="E804">
        <v>15200</v>
      </c>
    </row>
    <row r="805" spans="5:5" x14ac:dyDescent="0.25">
      <c r="E805">
        <v>15400</v>
      </c>
    </row>
    <row r="806" spans="5:5" x14ac:dyDescent="0.25">
      <c r="E806">
        <v>15600</v>
      </c>
    </row>
    <row r="807" spans="5:5" x14ac:dyDescent="0.25">
      <c r="E807">
        <v>15800</v>
      </c>
    </row>
    <row r="808" spans="5:5" x14ac:dyDescent="0.25">
      <c r="E808">
        <v>16000</v>
      </c>
    </row>
    <row r="809" spans="5:5" x14ac:dyDescent="0.25">
      <c r="E809">
        <v>16200.000000000002</v>
      </c>
    </row>
    <row r="810" spans="5:5" x14ac:dyDescent="0.25">
      <c r="E810">
        <v>16400</v>
      </c>
    </row>
    <row r="811" spans="5:5" x14ac:dyDescent="0.25">
      <c r="E811">
        <v>16500</v>
      </c>
    </row>
    <row r="812" spans="5:5" x14ac:dyDescent="0.25">
      <c r="E812">
        <v>16700</v>
      </c>
    </row>
    <row r="813" spans="5:5" x14ac:dyDescent="0.25">
      <c r="E813">
        <v>16900</v>
      </c>
    </row>
    <row r="814" spans="5:5" x14ac:dyDescent="0.25">
      <c r="E814">
        <v>17200</v>
      </c>
    </row>
    <row r="815" spans="5:5" x14ac:dyDescent="0.25">
      <c r="E815">
        <v>17400</v>
      </c>
    </row>
    <row r="816" spans="5:5" x14ac:dyDescent="0.25">
      <c r="E816">
        <v>17600</v>
      </c>
    </row>
    <row r="817" spans="5:5" x14ac:dyDescent="0.25">
      <c r="E817">
        <v>17800</v>
      </c>
    </row>
    <row r="818" spans="5:5" x14ac:dyDescent="0.25">
      <c r="E818">
        <v>18000</v>
      </c>
    </row>
    <row r="819" spans="5:5" x14ac:dyDescent="0.25">
      <c r="E819">
        <v>18200</v>
      </c>
    </row>
    <row r="820" spans="5:5" x14ac:dyDescent="0.25">
      <c r="E820">
        <v>18400.000000000004</v>
      </c>
    </row>
    <row r="821" spans="5:5" x14ac:dyDescent="0.25">
      <c r="E821">
        <v>18700.000000000004</v>
      </c>
    </row>
    <row r="822" spans="5:5" x14ac:dyDescent="0.25">
      <c r="E822">
        <v>18900</v>
      </c>
    </row>
    <row r="823" spans="5:5" x14ac:dyDescent="0.25">
      <c r="E823">
        <v>19099.999999999996</v>
      </c>
    </row>
    <row r="824" spans="5:5" x14ac:dyDescent="0.25">
      <c r="E824">
        <v>19300</v>
      </c>
    </row>
    <row r="825" spans="5:5" x14ac:dyDescent="0.25">
      <c r="E825">
        <v>19600</v>
      </c>
    </row>
    <row r="826" spans="5:5" x14ac:dyDescent="0.25">
      <c r="E826">
        <v>19800</v>
      </c>
    </row>
    <row r="827" spans="5:5" x14ac:dyDescent="0.25">
      <c r="E827">
        <v>20000</v>
      </c>
    </row>
    <row r="828" spans="5:5" x14ac:dyDescent="0.25">
      <c r="E828">
        <v>20299.999999999996</v>
      </c>
    </row>
    <row r="829" spans="5:5" x14ac:dyDescent="0.25">
      <c r="E829">
        <v>20500</v>
      </c>
    </row>
    <row r="830" spans="5:5" x14ac:dyDescent="0.25">
      <c r="E830">
        <v>20800</v>
      </c>
    </row>
    <row r="831" spans="5:5" x14ac:dyDescent="0.25">
      <c r="E831">
        <v>21000</v>
      </c>
    </row>
    <row r="832" spans="5:5" x14ac:dyDescent="0.25">
      <c r="E832">
        <v>21299.999999999996</v>
      </c>
    </row>
    <row r="833" spans="5:5" x14ac:dyDescent="0.25">
      <c r="E833">
        <v>21500</v>
      </c>
    </row>
    <row r="834" spans="5:5" x14ac:dyDescent="0.25">
      <c r="E834">
        <v>21800</v>
      </c>
    </row>
    <row r="835" spans="5:5" x14ac:dyDescent="0.25">
      <c r="E835">
        <v>22100</v>
      </c>
    </row>
    <row r="836" spans="5:5" x14ac:dyDescent="0.25">
      <c r="E836">
        <v>22300</v>
      </c>
    </row>
    <row r="837" spans="5:5" x14ac:dyDescent="0.25">
      <c r="E837">
        <v>22599.999999999996</v>
      </c>
    </row>
    <row r="838" spans="5:5" x14ac:dyDescent="0.25">
      <c r="E838">
        <v>22900</v>
      </c>
    </row>
    <row r="839" spans="5:5" x14ac:dyDescent="0.25">
      <c r="E839">
        <v>23200</v>
      </c>
    </row>
    <row r="840" spans="5:5" x14ac:dyDescent="0.25">
      <c r="E840">
        <v>23400</v>
      </c>
    </row>
    <row r="841" spans="5:5" x14ac:dyDescent="0.25">
      <c r="E841">
        <v>23700.000000000004</v>
      </c>
    </row>
    <row r="842" spans="5:5" x14ac:dyDescent="0.25">
      <c r="E842">
        <v>24000</v>
      </c>
    </row>
    <row r="843" spans="5:5" x14ac:dyDescent="0.25">
      <c r="E843">
        <v>24300</v>
      </c>
    </row>
    <row r="844" spans="5:5" x14ac:dyDescent="0.25">
      <c r="E844">
        <v>24600</v>
      </c>
    </row>
    <row r="845" spans="5:5" x14ac:dyDescent="0.25">
      <c r="E845">
        <v>24900.000000000004</v>
      </c>
    </row>
    <row r="846" spans="5:5" x14ac:dyDescent="0.25">
      <c r="E846">
        <v>25200</v>
      </c>
    </row>
    <row r="847" spans="5:5" x14ac:dyDescent="0.25">
      <c r="E847">
        <v>25500</v>
      </c>
    </row>
    <row r="848" spans="5:5" x14ac:dyDescent="0.25">
      <c r="E848">
        <v>25800</v>
      </c>
    </row>
    <row r="849" spans="5:5" x14ac:dyDescent="0.25">
      <c r="E849">
        <v>26100</v>
      </c>
    </row>
    <row r="850" spans="5:5" x14ac:dyDescent="0.25">
      <c r="E850">
        <v>26400</v>
      </c>
    </row>
    <row r="851" spans="5:5" x14ac:dyDescent="0.25">
      <c r="E851">
        <v>26700</v>
      </c>
    </row>
    <row r="852" spans="5:5" x14ac:dyDescent="0.25">
      <c r="E852">
        <v>27100</v>
      </c>
    </row>
    <row r="853" spans="5:5" x14ac:dyDescent="0.25">
      <c r="E853">
        <v>27400</v>
      </c>
    </row>
    <row r="854" spans="5:5" x14ac:dyDescent="0.25">
      <c r="E854">
        <v>27700</v>
      </c>
    </row>
    <row r="855" spans="5:5" x14ac:dyDescent="0.25">
      <c r="E855">
        <v>28000</v>
      </c>
    </row>
    <row r="856" spans="5:5" x14ac:dyDescent="0.25">
      <c r="E856">
        <v>28400</v>
      </c>
    </row>
    <row r="857" spans="5:5" x14ac:dyDescent="0.25">
      <c r="E857">
        <v>28700</v>
      </c>
    </row>
    <row r="858" spans="5:5" x14ac:dyDescent="0.25">
      <c r="E858">
        <v>29100</v>
      </c>
    </row>
    <row r="859" spans="5:5" x14ac:dyDescent="0.25">
      <c r="E859">
        <v>29400</v>
      </c>
    </row>
    <row r="860" spans="5:5" x14ac:dyDescent="0.25">
      <c r="E860">
        <v>29800</v>
      </c>
    </row>
    <row r="861" spans="5:5" x14ac:dyDescent="0.25">
      <c r="E861">
        <v>30100</v>
      </c>
    </row>
    <row r="862" spans="5:5" x14ac:dyDescent="0.25">
      <c r="E862">
        <v>30500</v>
      </c>
    </row>
    <row r="863" spans="5:5" x14ac:dyDescent="0.25">
      <c r="E863">
        <v>30900</v>
      </c>
    </row>
    <row r="864" spans="5:5" x14ac:dyDescent="0.25">
      <c r="E864">
        <v>31200</v>
      </c>
    </row>
    <row r="865" spans="5:5" x14ac:dyDescent="0.25">
      <c r="E865">
        <v>31600</v>
      </c>
    </row>
    <row r="866" spans="5:5" x14ac:dyDescent="0.25">
      <c r="E866">
        <v>32000</v>
      </c>
    </row>
    <row r="867" spans="5:5" x14ac:dyDescent="0.25">
      <c r="E867">
        <v>32400.000000000004</v>
      </c>
    </row>
    <row r="868" spans="5:5" x14ac:dyDescent="0.25">
      <c r="E868">
        <v>32800</v>
      </c>
    </row>
    <row r="869" spans="5:5" x14ac:dyDescent="0.25">
      <c r="E869">
        <v>33199.999999999993</v>
      </c>
    </row>
    <row r="870" spans="5:5" x14ac:dyDescent="0.25">
      <c r="E870">
        <v>33600</v>
      </c>
    </row>
    <row r="871" spans="5:5" x14ac:dyDescent="0.25">
      <c r="E871">
        <v>34000</v>
      </c>
    </row>
    <row r="872" spans="5:5" x14ac:dyDescent="0.25">
      <c r="E872">
        <v>34400</v>
      </c>
    </row>
    <row r="873" spans="5:5" x14ac:dyDescent="0.25">
      <c r="E873">
        <v>34800</v>
      </c>
    </row>
    <row r="874" spans="5:5" x14ac:dyDescent="0.25">
      <c r="E874">
        <v>35200</v>
      </c>
    </row>
    <row r="875" spans="5:5" x14ac:dyDescent="0.25">
      <c r="E875">
        <v>35699.999999999993</v>
      </c>
    </row>
    <row r="876" spans="5:5" x14ac:dyDescent="0.25">
      <c r="E876">
        <v>36100</v>
      </c>
    </row>
    <row r="877" spans="5:5" x14ac:dyDescent="0.25">
      <c r="E877">
        <v>36500</v>
      </c>
    </row>
    <row r="878" spans="5:5" x14ac:dyDescent="0.25">
      <c r="E878">
        <v>37000</v>
      </c>
    </row>
    <row r="879" spans="5:5" x14ac:dyDescent="0.25">
      <c r="E879">
        <v>37400.000000000007</v>
      </c>
    </row>
    <row r="880" spans="5:5" x14ac:dyDescent="0.25">
      <c r="E880">
        <v>37900</v>
      </c>
    </row>
    <row r="881" spans="5:5" x14ac:dyDescent="0.25">
      <c r="E881">
        <v>38300</v>
      </c>
    </row>
    <row r="882" spans="5:5" x14ac:dyDescent="0.25">
      <c r="E882">
        <v>38800</v>
      </c>
    </row>
    <row r="883" spans="5:5" x14ac:dyDescent="0.25">
      <c r="E883">
        <v>39200</v>
      </c>
    </row>
    <row r="884" spans="5:5" x14ac:dyDescent="0.25">
      <c r="E884">
        <v>39700</v>
      </c>
    </row>
    <row r="885" spans="5:5" x14ac:dyDescent="0.25">
      <c r="E885">
        <v>40199.999999999993</v>
      </c>
    </row>
    <row r="886" spans="5:5" x14ac:dyDescent="0.25">
      <c r="E886">
        <v>40700</v>
      </c>
    </row>
    <row r="887" spans="5:5" x14ac:dyDescent="0.25">
      <c r="E887">
        <v>41200</v>
      </c>
    </row>
    <row r="888" spans="5:5" x14ac:dyDescent="0.25">
      <c r="E888">
        <v>41700</v>
      </c>
    </row>
    <row r="889" spans="5:5" x14ac:dyDescent="0.25">
      <c r="E889">
        <v>42199.999999999993</v>
      </c>
    </row>
    <row r="890" spans="5:5" x14ac:dyDescent="0.25">
      <c r="E890">
        <v>42699.999999999993</v>
      </c>
    </row>
    <row r="891" spans="5:5" x14ac:dyDescent="0.25">
      <c r="E891">
        <v>43200</v>
      </c>
    </row>
    <row r="892" spans="5:5" x14ac:dyDescent="0.25">
      <c r="E892">
        <v>43700</v>
      </c>
    </row>
    <row r="893" spans="5:5" x14ac:dyDescent="0.25">
      <c r="E893">
        <v>44200</v>
      </c>
    </row>
    <row r="894" spans="5:5" x14ac:dyDescent="0.25">
      <c r="E894">
        <v>44800.000000000007</v>
      </c>
    </row>
    <row r="895" spans="5:5" x14ac:dyDescent="0.25">
      <c r="E895">
        <v>45300.000000000007</v>
      </c>
    </row>
    <row r="896" spans="5:5" x14ac:dyDescent="0.25">
      <c r="E896">
        <v>45900</v>
      </c>
    </row>
    <row r="897" spans="5:5" x14ac:dyDescent="0.25">
      <c r="E897">
        <v>46400</v>
      </c>
    </row>
    <row r="898" spans="5:5" x14ac:dyDescent="0.25">
      <c r="E898">
        <v>47000</v>
      </c>
    </row>
    <row r="899" spans="5:5" x14ac:dyDescent="0.25">
      <c r="E899">
        <v>47500</v>
      </c>
    </row>
    <row r="900" spans="5:5" x14ac:dyDescent="0.25">
      <c r="E900">
        <v>48099.999999999993</v>
      </c>
    </row>
    <row r="901" spans="5:5" x14ac:dyDescent="0.25">
      <c r="E901">
        <v>48700</v>
      </c>
    </row>
    <row r="902" spans="5:5" x14ac:dyDescent="0.25">
      <c r="E902">
        <v>49300</v>
      </c>
    </row>
    <row r="903" spans="5:5" x14ac:dyDescent="0.25">
      <c r="E903">
        <v>49900.000000000007</v>
      </c>
    </row>
    <row r="904" spans="5:5" x14ac:dyDescent="0.25">
      <c r="E904">
        <v>50500</v>
      </c>
    </row>
    <row r="905" spans="5:5" x14ac:dyDescent="0.25">
      <c r="E905">
        <v>51100</v>
      </c>
    </row>
    <row r="906" spans="5:5" x14ac:dyDescent="0.25">
      <c r="E906">
        <v>51700</v>
      </c>
    </row>
    <row r="907" spans="5:5" x14ac:dyDescent="0.25">
      <c r="E907">
        <v>52300</v>
      </c>
    </row>
    <row r="908" spans="5:5" x14ac:dyDescent="0.25">
      <c r="E908">
        <v>53000</v>
      </c>
    </row>
    <row r="909" spans="5:5" x14ac:dyDescent="0.25">
      <c r="E909">
        <v>53600</v>
      </c>
    </row>
    <row r="910" spans="5:5" x14ac:dyDescent="0.25">
      <c r="E910">
        <v>54200</v>
      </c>
    </row>
    <row r="911" spans="5:5" x14ac:dyDescent="0.25">
      <c r="E911">
        <v>54900</v>
      </c>
    </row>
    <row r="912" spans="5:5" x14ac:dyDescent="0.25">
      <c r="E912">
        <v>55600</v>
      </c>
    </row>
    <row r="913" spans="5:5" x14ac:dyDescent="0.25">
      <c r="E913">
        <v>56200</v>
      </c>
    </row>
    <row r="914" spans="5:5" x14ac:dyDescent="0.25">
      <c r="E914">
        <v>56900</v>
      </c>
    </row>
    <row r="915" spans="5:5" x14ac:dyDescent="0.25">
      <c r="E915">
        <v>57600</v>
      </c>
    </row>
    <row r="916" spans="5:5" x14ac:dyDescent="0.25">
      <c r="E916">
        <v>58300</v>
      </c>
    </row>
    <row r="917" spans="5:5" x14ac:dyDescent="0.25">
      <c r="E917">
        <v>59000</v>
      </c>
    </row>
    <row r="918" spans="5:5" x14ac:dyDescent="0.25">
      <c r="E918">
        <v>59700</v>
      </c>
    </row>
    <row r="919" spans="5:5" x14ac:dyDescent="0.25">
      <c r="E919">
        <v>60400</v>
      </c>
    </row>
    <row r="920" spans="5:5" x14ac:dyDescent="0.25">
      <c r="E920">
        <v>61200</v>
      </c>
    </row>
    <row r="921" spans="5:5" x14ac:dyDescent="0.25">
      <c r="E921">
        <v>61900</v>
      </c>
    </row>
    <row r="922" spans="5:5" x14ac:dyDescent="0.25">
      <c r="E922">
        <v>62600</v>
      </c>
    </row>
    <row r="923" spans="5:5" x14ac:dyDescent="0.25">
      <c r="E923">
        <v>63400</v>
      </c>
    </row>
    <row r="924" spans="5:5" x14ac:dyDescent="0.25">
      <c r="E924">
        <v>64200</v>
      </c>
    </row>
    <row r="925" spans="5:5" x14ac:dyDescent="0.25">
      <c r="E925">
        <v>64900</v>
      </c>
    </row>
    <row r="926" spans="5:5" x14ac:dyDescent="0.25">
      <c r="E926">
        <v>65700</v>
      </c>
    </row>
    <row r="927" spans="5:5" x14ac:dyDescent="0.25">
      <c r="E927">
        <v>66500</v>
      </c>
    </row>
    <row r="928" spans="5:5" x14ac:dyDescent="0.25">
      <c r="E928">
        <v>67300.000000000015</v>
      </c>
    </row>
    <row r="929" spans="5:5" x14ac:dyDescent="0.25">
      <c r="E929">
        <v>68100</v>
      </c>
    </row>
    <row r="930" spans="5:5" x14ac:dyDescent="0.25">
      <c r="E930">
        <v>69000</v>
      </c>
    </row>
    <row r="931" spans="5:5" x14ac:dyDescent="0.25">
      <c r="E931">
        <v>69800.000000000015</v>
      </c>
    </row>
    <row r="932" spans="5:5" x14ac:dyDescent="0.25">
      <c r="E932">
        <v>70600</v>
      </c>
    </row>
    <row r="933" spans="5:5" x14ac:dyDescent="0.25">
      <c r="E933">
        <v>71500</v>
      </c>
    </row>
    <row r="934" spans="5:5" x14ac:dyDescent="0.25">
      <c r="E934">
        <v>72300.000000000015</v>
      </c>
    </row>
    <row r="935" spans="5:5" x14ac:dyDescent="0.25">
      <c r="E935">
        <v>73200</v>
      </c>
    </row>
    <row r="936" spans="5:5" x14ac:dyDescent="0.25">
      <c r="E936">
        <v>74100</v>
      </c>
    </row>
    <row r="937" spans="5:5" x14ac:dyDescent="0.25">
      <c r="E937">
        <v>75000</v>
      </c>
    </row>
    <row r="938" spans="5:5" x14ac:dyDescent="0.25">
      <c r="E938">
        <v>75900</v>
      </c>
    </row>
    <row r="939" spans="5:5" x14ac:dyDescent="0.25">
      <c r="E939">
        <v>76800</v>
      </c>
    </row>
    <row r="940" spans="5:5" x14ac:dyDescent="0.25">
      <c r="E940">
        <v>77699.999999999985</v>
      </c>
    </row>
    <row r="941" spans="5:5" x14ac:dyDescent="0.25">
      <c r="E941">
        <v>78700</v>
      </c>
    </row>
    <row r="942" spans="5:5" x14ac:dyDescent="0.25">
      <c r="E942">
        <v>79600</v>
      </c>
    </row>
    <row r="943" spans="5:5" x14ac:dyDescent="0.25">
      <c r="E943">
        <v>80600.000000000015</v>
      </c>
    </row>
    <row r="944" spans="5:5" x14ac:dyDescent="0.25">
      <c r="E944">
        <v>81600</v>
      </c>
    </row>
    <row r="945" spans="5:5" x14ac:dyDescent="0.25">
      <c r="E945">
        <v>82500</v>
      </c>
    </row>
    <row r="946" spans="5:5" x14ac:dyDescent="0.25">
      <c r="E946">
        <v>83500</v>
      </c>
    </row>
    <row r="947" spans="5:5" x14ac:dyDescent="0.25">
      <c r="E947">
        <v>84500</v>
      </c>
    </row>
    <row r="948" spans="5:5" x14ac:dyDescent="0.25">
      <c r="E948">
        <v>85600.000000000015</v>
      </c>
    </row>
    <row r="949" spans="5:5" x14ac:dyDescent="0.25">
      <c r="E949">
        <v>86600</v>
      </c>
    </row>
    <row r="950" spans="5:5" x14ac:dyDescent="0.25">
      <c r="E950">
        <v>87600</v>
      </c>
    </row>
    <row r="951" spans="5:5" x14ac:dyDescent="0.25">
      <c r="E951">
        <v>88699.999999999985</v>
      </c>
    </row>
    <row r="952" spans="5:5" x14ac:dyDescent="0.25">
      <c r="E952">
        <v>89800.000000000015</v>
      </c>
    </row>
    <row r="953" spans="5:5" x14ac:dyDescent="0.25">
      <c r="E953">
        <v>90900</v>
      </c>
    </row>
    <row r="954" spans="5:5" x14ac:dyDescent="0.25">
      <c r="E954">
        <v>92000</v>
      </c>
    </row>
    <row r="955" spans="5:5" x14ac:dyDescent="0.25">
      <c r="E955">
        <v>93100.000000000015</v>
      </c>
    </row>
    <row r="956" spans="5:5" x14ac:dyDescent="0.25">
      <c r="E956">
        <v>94200</v>
      </c>
    </row>
    <row r="957" spans="5:5" x14ac:dyDescent="0.25">
      <c r="E957">
        <v>95300</v>
      </c>
    </row>
    <row r="958" spans="5:5" x14ac:dyDescent="0.25">
      <c r="E958">
        <v>96500</v>
      </c>
    </row>
    <row r="959" spans="5:5" x14ac:dyDescent="0.25">
      <c r="E959">
        <v>97600</v>
      </c>
    </row>
    <row r="960" spans="5:5" x14ac:dyDescent="0.25">
      <c r="E960">
        <v>98800.000000000015</v>
      </c>
    </row>
    <row r="961" spans="5:5" x14ac:dyDescent="0.25">
      <c r="E961">
        <v>100000</v>
      </c>
    </row>
    <row r="962" spans="5:5" x14ac:dyDescent="0.25">
      <c r="E962">
        <v>101000</v>
      </c>
    </row>
    <row r="963" spans="5:5" x14ac:dyDescent="0.25">
      <c r="E963">
        <v>102000</v>
      </c>
    </row>
    <row r="964" spans="5:5" x14ac:dyDescent="0.25">
      <c r="E964">
        <v>104000</v>
      </c>
    </row>
    <row r="965" spans="5:5" x14ac:dyDescent="0.25">
      <c r="E965">
        <v>105000</v>
      </c>
    </row>
    <row r="966" spans="5:5" x14ac:dyDescent="0.25">
      <c r="E966">
        <v>106000.00000000001</v>
      </c>
    </row>
    <row r="967" spans="5:5" x14ac:dyDescent="0.25">
      <c r="E967">
        <v>107000.00000000001</v>
      </c>
    </row>
    <row r="968" spans="5:5" x14ac:dyDescent="0.25">
      <c r="E968">
        <v>109000</v>
      </c>
    </row>
    <row r="969" spans="5:5" x14ac:dyDescent="0.25">
      <c r="E969">
        <v>110000</v>
      </c>
    </row>
    <row r="970" spans="5:5" x14ac:dyDescent="0.25">
      <c r="E970">
        <v>111000.00000000001</v>
      </c>
    </row>
    <row r="971" spans="5:5" x14ac:dyDescent="0.25">
      <c r="E971">
        <v>112999.99999999999</v>
      </c>
    </row>
    <row r="972" spans="5:5" x14ac:dyDescent="0.25">
      <c r="E972">
        <v>113999.99999999999</v>
      </c>
    </row>
    <row r="973" spans="5:5" x14ac:dyDescent="0.25">
      <c r="E973">
        <v>115000</v>
      </c>
    </row>
    <row r="974" spans="5:5" x14ac:dyDescent="0.25">
      <c r="E974">
        <v>117000</v>
      </c>
    </row>
    <row r="975" spans="5:5" x14ac:dyDescent="0.25">
      <c r="E975">
        <v>117999.99999999999</v>
      </c>
    </row>
    <row r="976" spans="5:5" x14ac:dyDescent="0.25">
      <c r="E976">
        <v>120000</v>
      </c>
    </row>
    <row r="977" spans="5:5" x14ac:dyDescent="0.25">
      <c r="E977">
        <v>121000</v>
      </c>
    </row>
    <row r="978" spans="5:5" x14ac:dyDescent="0.25">
      <c r="E978">
        <v>123000</v>
      </c>
    </row>
    <row r="979" spans="5:5" x14ac:dyDescent="0.25">
      <c r="E979">
        <v>124000</v>
      </c>
    </row>
    <row r="980" spans="5:5" x14ac:dyDescent="0.25">
      <c r="E980">
        <v>126000</v>
      </c>
    </row>
    <row r="981" spans="5:5" x14ac:dyDescent="0.25">
      <c r="E981">
        <v>127000</v>
      </c>
    </row>
    <row r="982" spans="5:5" x14ac:dyDescent="0.25">
      <c r="E982">
        <v>129000</v>
      </c>
    </row>
    <row r="983" spans="5:5" x14ac:dyDescent="0.25">
      <c r="E983">
        <v>130000</v>
      </c>
    </row>
    <row r="984" spans="5:5" x14ac:dyDescent="0.25">
      <c r="E984">
        <v>132000</v>
      </c>
    </row>
    <row r="985" spans="5:5" x14ac:dyDescent="0.25">
      <c r="E985">
        <v>133000</v>
      </c>
    </row>
    <row r="986" spans="5:5" x14ac:dyDescent="0.25">
      <c r="E986">
        <v>135000</v>
      </c>
    </row>
    <row r="987" spans="5:5" x14ac:dyDescent="0.25">
      <c r="E987">
        <v>137000</v>
      </c>
    </row>
    <row r="988" spans="5:5" x14ac:dyDescent="0.25">
      <c r="E988">
        <v>138000</v>
      </c>
    </row>
    <row r="989" spans="5:5" x14ac:dyDescent="0.25">
      <c r="E989">
        <v>140000</v>
      </c>
    </row>
    <row r="990" spans="5:5" x14ac:dyDescent="0.25">
      <c r="E990">
        <v>142000</v>
      </c>
    </row>
    <row r="991" spans="5:5" x14ac:dyDescent="0.25">
      <c r="E991">
        <v>143000</v>
      </c>
    </row>
    <row r="992" spans="5:5" x14ac:dyDescent="0.25">
      <c r="E992">
        <v>145000</v>
      </c>
    </row>
    <row r="993" spans="5:5" x14ac:dyDescent="0.25">
      <c r="E993">
        <v>147000</v>
      </c>
    </row>
    <row r="994" spans="5:5" x14ac:dyDescent="0.25">
      <c r="E994">
        <v>149000</v>
      </c>
    </row>
    <row r="995" spans="5:5" x14ac:dyDescent="0.25">
      <c r="E995">
        <v>150000</v>
      </c>
    </row>
    <row r="996" spans="5:5" x14ac:dyDescent="0.25">
      <c r="E996">
        <v>152000</v>
      </c>
    </row>
    <row r="997" spans="5:5" x14ac:dyDescent="0.25">
      <c r="E997">
        <v>154000</v>
      </c>
    </row>
    <row r="998" spans="5:5" x14ac:dyDescent="0.25">
      <c r="E998">
        <v>156000</v>
      </c>
    </row>
    <row r="999" spans="5:5" x14ac:dyDescent="0.25">
      <c r="E999">
        <v>158000</v>
      </c>
    </row>
    <row r="1000" spans="5:5" x14ac:dyDescent="0.25">
      <c r="E1000">
        <v>160000</v>
      </c>
    </row>
    <row r="1001" spans="5:5" x14ac:dyDescent="0.25">
      <c r="E1001">
        <v>162000.00000000003</v>
      </c>
    </row>
    <row r="1002" spans="5:5" x14ac:dyDescent="0.25">
      <c r="E1002">
        <v>164000</v>
      </c>
    </row>
    <row r="1003" spans="5:5" x14ac:dyDescent="0.25">
      <c r="E1003">
        <v>165000</v>
      </c>
    </row>
    <row r="1004" spans="5:5" x14ac:dyDescent="0.25">
      <c r="E1004">
        <v>167000</v>
      </c>
    </row>
    <row r="1005" spans="5:5" x14ac:dyDescent="0.25">
      <c r="E1005">
        <v>169000</v>
      </c>
    </row>
    <row r="1006" spans="5:5" x14ac:dyDescent="0.25">
      <c r="E1006">
        <v>172000</v>
      </c>
    </row>
    <row r="1007" spans="5:5" x14ac:dyDescent="0.25">
      <c r="E1007">
        <v>174000</v>
      </c>
    </row>
    <row r="1008" spans="5:5" x14ac:dyDescent="0.25">
      <c r="E1008">
        <v>176000</v>
      </c>
    </row>
    <row r="1009" spans="5:5" x14ac:dyDescent="0.25">
      <c r="E1009">
        <v>178000</v>
      </c>
    </row>
    <row r="1010" spans="5:5" x14ac:dyDescent="0.25">
      <c r="E1010">
        <v>180000</v>
      </c>
    </row>
    <row r="1011" spans="5:5" x14ac:dyDescent="0.25">
      <c r="E1011">
        <v>182000</v>
      </c>
    </row>
    <row r="1012" spans="5:5" x14ac:dyDescent="0.25">
      <c r="E1012">
        <v>184000.00000000003</v>
      </c>
    </row>
    <row r="1013" spans="5:5" x14ac:dyDescent="0.25">
      <c r="E1013">
        <v>187000.00000000003</v>
      </c>
    </row>
    <row r="1014" spans="5:5" x14ac:dyDescent="0.25">
      <c r="E1014">
        <v>189000</v>
      </c>
    </row>
    <row r="1015" spans="5:5" x14ac:dyDescent="0.25">
      <c r="E1015">
        <v>190999.99999999997</v>
      </c>
    </row>
    <row r="1016" spans="5:5" x14ac:dyDescent="0.25">
      <c r="E1016">
        <v>193000</v>
      </c>
    </row>
    <row r="1017" spans="5:5" x14ac:dyDescent="0.25">
      <c r="E1017">
        <v>196000</v>
      </c>
    </row>
    <row r="1018" spans="5:5" x14ac:dyDescent="0.25">
      <c r="E1018">
        <v>198000</v>
      </c>
    </row>
    <row r="1019" spans="5:5" x14ac:dyDescent="0.25">
      <c r="E1019">
        <v>200000</v>
      </c>
    </row>
    <row r="1020" spans="5:5" x14ac:dyDescent="0.25">
      <c r="E1020">
        <v>202999.99999999997</v>
      </c>
    </row>
    <row r="1021" spans="5:5" x14ac:dyDescent="0.25">
      <c r="E1021">
        <v>205000</v>
      </c>
    </row>
    <row r="1022" spans="5:5" x14ac:dyDescent="0.25">
      <c r="E1022">
        <v>208000</v>
      </c>
    </row>
    <row r="1023" spans="5:5" x14ac:dyDescent="0.25">
      <c r="E1023">
        <v>210000</v>
      </c>
    </row>
    <row r="1024" spans="5:5" x14ac:dyDescent="0.25">
      <c r="E1024">
        <v>212999.99999999997</v>
      </c>
    </row>
    <row r="1025" spans="5:5" x14ac:dyDescent="0.25">
      <c r="E1025">
        <v>215000</v>
      </c>
    </row>
    <row r="1026" spans="5:5" x14ac:dyDescent="0.25">
      <c r="E1026">
        <v>218000</v>
      </c>
    </row>
    <row r="1027" spans="5:5" x14ac:dyDescent="0.25">
      <c r="E1027">
        <v>221000</v>
      </c>
    </row>
    <row r="1028" spans="5:5" x14ac:dyDescent="0.25">
      <c r="E1028">
        <v>223000</v>
      </c>
    </row>
    <row r="1029" spans="5:5" x14ac:dyDescent="0.25">
      <c r="E1029">
        <v>225999.99999999997</v>
      </c>
    </row>
    <row r="1030" spans="5:5" x14ac:dyDescent="0.25">
      <c r="E1030">
        <v>229000</v>
      </c>
    </row>
    <row r="1031" spans="5:5" x14ac:dyDescent="0.25">
      <c r="E1031">
        <v>232000</v>
      </c>
    </row>
    <row r="1032" spans="5:5" x14ac:dyDescent="0.25">
      <c r="E1032">
        <v>234000</v>
      </c>
    </row>
    <row r="1033" spans="5:5" x14ac:dyDescent="0.25">
      <c r="E1033">
        <v>237000.00000000003</v>
      </c>
    </row>
    <row r="1034" spans="5:5" x14ac:dyDescent="0.25">
      <c r="E1034">
        <v>240000</v>
      </c>
    </row>
    <row r="1035" spans="5:5" x14ac:dyDescent="0.25">
      <c r="E1035">
        <v>243000</v>
      </c>
    </row>
    <row r="1036" spans="5:5" x14ac:dyDescent="0.25">
      <c r="E1036">
        <v>246000</v>
      </c>
    </row>
    <row r="1037" spans="5:5" x14ac:dyDescent="0.25">
      <c r="E1037">
        <v>249000.00000000003</v>
      </c>
    </row>
    <row r="1038" spans="5:5" x14ac:dyDescent="0.25">
      <c r="E1038">
        <v>252000</v>
      </c>
    </row>
    <row r="1039" spans="5:5" x14ac:dyDescent="0.25">
      <c r="E1039">
        <v>255000</v>
      </c>
    </row>
    <row r="1040" spans="5:5" x14ac:dyDescent="0.25">
      <c r="E1040">
        <v>258000</v>
      </c>
    </row>
    <row r="1041" spans="5:5" x14ac:dyDescent="0.25">
      <c r="E1041">
        <v>261000</v>
      </c>
    </row>
    <row r="1042" spans="5:5" x14ac:dyDescent="0.25">
      <c r="E1042">
        <v>264000</v>
      </c>
    </row>
    <row r="1043" spans="5:5" x14ac:dyDescent="0.25">
      <c r="E1043">
        <v>267000</v>
      </c>
    </row>
    <row r="1044" spans="5:5" x14ac:dyDescent="0.25">
      <c r="E1044">
        <v>271000</v>
      </c>
    </row>
    <row r="1045" spans="5:5" x14ac:dyDescent="0.25">
      <c r="E1045">
        <v>274000</v>
      </c>
    </row>
    <row r="1046" spans="5:5" x14ac:dyDescent="0.25">
      <c r="E1046">
        <v>277000</v>
      </c>
    </row>
    <row r="1047" spans="5:5" x14ac:dyDescent="0.25">
      <c r="E1047">
        <v>280000</v>
      </c>
    </row>
    <row r="1048" spans="5:5" x14ac:dyDescent="0.25">
      <c r="E1048">
        <v>284000</v>
      </c>
    </row>
    <row r="1049" spans="5:5" x14ac:dyDescent="0.25">
      <c r="E1049">
        <v>287000</v>
      </c>
    </row>
    <row r="1050" spans="5:5" x14ac:dyDescent="0.25">
      <c r="E1050">
        <v>291000</v>
      </c>
    </row>
    <row r="1051" spans="5:5" x14ac:dyDescent="0.25">
      <c r="E1051">
        <v>294000</v>
      </c>
    </row>
    <row r="1052" spans="5:5" x14ac:dyDescent="0.25">
      <c r="E1052">
        <v>298000</v>
      </c>
    </row>
    <row r="1053" spans="5:5" x14ac:dyDescent="0.25">
      <c r="E1053">
        <v>301000</v>
      </c>
    </row>
    <row r="1054" spans="5:5" x14ac:dyDescent="0.25">
      <c r="E1054">
        <v>305000</v>
      </c>
    </row>
    <row r="1055" spans="5:5" x14ac:dyDescent="0.25">
      <c r="E1055">
        <v>309000</v>
      </c>
    </row>
    <row r="1056" spans="5:5" x14ac:dyDescent="0.25">
      <c r="E1056">
        <v>312000</v>
      </c>
    </row>
    <row r="1057" spans="5:5" x14ac:dyDescent="0.25">
      <c r="E1057">
        <v>316000</v>
      </c>
    </row>
    <row r="1058" spans="5:5" x14ac:dyDescent="0.25">
      <c r="E1058">
        <v>320000</v>
      </c>
    </row>
    <row r="1059" spans="5:5" x14ac:dyDescent="0.25">
      <c r="E1059">
        <v>324000.00000000006</v>
      </c>
    </row>
    <row r="1060" spans="5:5" x14ac:dyDescent="0.25">
      <c r="E1060">
        <v>328000</v>
      </c>
    </row>
    <row r="1061" spans="5:5" x14ac:dyDescent="0.25">
      <c r="E1061">
        <v>331999.99999999994</v>
      </c>
    </row>
    <row r="1062" spans="5:5" x14ac:dyDescent="0.25">
      <c r="E1062">
        <v>336000</v>
      </c>
    </row>
    <row r="1063" spans="5:5" x14ac:dyDescent="0.25">
      <c r="E1063">
        <v>340000</v>
      </c>
    </row>
    <row r="1064" spans="5:5" x14ac:dyDescent="0.25">
      <c r="E1064">
        <v>344000</v>
      </c>
    </row>
    <row r="1065" spans="5:5" x14ac:dyDescent="0.25">
      <c r="E1065">
        <v>348000</v>
      </c>
    </row>
    <row r="1066" spans="5:5" x14ac:dyDescent="0.25">
      <c r="E1066">
        <v>352000</v>
      </c>
    </row>
    <row r="1067" spans="5:5" x14ac:dyDescent="0.25">
      <c r="E1067">
        <v>356999.99999999994</v>
      </c>
    </row>
    <row r="1068" spans="5:5" x14ac:dyDescent="0.25">
      <c r="E1068">
        <v>361000</v>
      </c>
    </row>
    <row r="1069" spans="5:5" x14ac:dyDescent="0.25">
      <c r="E1069">
        <v>365000</v>
      </c>
    </row>
    <row r="1070" spans="5:5" x14ac:dyDescent="0.25">
      <c r="E1070">
        <v>370000</v>
      </c>
    </row>
    <row r="1071" spans="5:5" x14ac:dyDescent="0.25">
      <c r="E1071">
        <v>374000.00000000006</v>
      </c>
    </row>
    <row r="1072" spans="5:5" x14ac:dyDescent="0.25">
      <c r="E1072">
        <v>379000</v>
      </c>
    </row>
    <row r="1073" spans="5:5" x14ac:dyDescent="0.25">
      <c r="E1073">
        <v>383000</v>
      </c>
    </row>
    <row r="1074" spans="5:5" x14ac:dyDescent="0.25">
      <c r="E1074">
        <v>388000</v>
      </c>
    </row>
    <row r="1075" spans="5:5" x14ac:dyDescent="0.25">
      <c r="E1075">
        <v>392000</v>
      </c>
    </row>
    <row r="1076" spans="5:5" x14ac:dyDescent="0.25">
      <c r="E1076">
        <v>397000</v>
      </c>
    </row>
    <row r="1077" spans="5:5" x14ac:dyDescent="0.25">
      <c r="E1077">
        <v>401999.99999999994</v>
      </c>
    </row>
    <row r="1078" spans="5:5" x14ac:dyDescent="0.25">
      <c r="E1078">
        <v>407000</v>
      </c>
    </row>
    <row r="1079" spans="5:5" x14ac:dyDescent="0.25">
      <c r="E1079">
        <v>412000</v>
      </c>
    </row>
    <row r="1080" spans="5:5" x14ac:dyDescent="0.25">
      <c r="E1080">
        <v>417000</v>
      </c>
    </row>
    <row r="1081" spans="5:5" x14ac:dyDescent="0.25">
      <c r="E1081">
        <v>421999.99999999994</v>
      </c>
    </row>
    <row r="1082" spans="5:5" x14ac:dyDescent="0.25">
      <c r="E1082">
        <v>426999.99999999994</v>
      </c>
    </row>
    <row r="1083" spans="5:5" x14ac:dyDescent="0.25">
      <c r="E1083">
        <v>432000</v>
      </c>
    </row>
    <row r="1084" spans="5:5" x14ac:dyDescent="0.25">
      <c r="E1084">
        <v>437000</v>
      </c>
    </row>
    <row r="1085" spans="5:5" x14ac:dyDescent="0.25">
      <c r="E1085">
        <v>442000</v>
      </c>
    </row>
    <row r="1086" spans="5:5" x14ac:dyDescent="0.25">
      <c r="E1086">
        <v>448000.00000000006</v>
      </c>
    </row>
    <row r="1087" spans="5:5" x14ac:dyDescent="0.25">
      <c r="E1087">
        <v>453000.00000000006</v>
      </c>
    </row>
    <row r="1088" spans="5:5" x14ac:dyDescent="0.25">
      <c r="E1088">
        <v>459000</v>
      </c>
    </row>
    <row r="1089" spans="5:5" x14ac:dyDescent="0.25">
      <c r="E1089">
        <v>464000</v>
      </c>
    </row>
    <row r="1090" spans="5:5" x14ac:dyDescent="0.25">
      <c r="E1090">
        <v>470000</v>
      </c>
    </row>
    <row r="1091" spans="5:5" x14ac:dyDescent="0.25">
      <c r="E1091">
        <v>475000</v>
      </c>
    </row>
    <row r="1092" spans="5:5" x14ac:dyDescent="0.25">
      <c r="E1092">
        <v>480999.99999999994</v>
      </c>
    </row>
    <row r="1093" spans="5:5" x14ac:dyDescent="0.25">
      <c r="E1093">
        <v>487000</v>
      </c>
    </row>
    <row r="1094" spans="5:5" x14ac:dyDescent="0.25">
      <c r="E1094">
        <v>493000</v>
      </c>
    </row>
    <row r="1095" spans="5:5" x14ac:dyDescent="0.25">
      <c r="E1095">
        <v>499000.00000000006</v>
      </c>
    </row>
    <row r="1096" spans="5:5" x14ac:dyDescent="0.25">
      <c r="E1096">
        <v>505000</v>
      </c>
    </row>
    <row r="1097" spans="5:5" x14ac:dyDescent="0.25">
      <c r="E1097">
        <v>511000</v>
      </c>
    </row>
    <row r="1098" spans="5:5" x14ac:dyDescent="0.25">
      <c r="E1098">
        <v>517000</v>
      </c>
    </row>
    <row r="1099" spans="5:5" x14ac:dyDescent="0.25">
      <c r="E1099">
        <v>523000</v>
      </c>
    </row>
    <row r="1100" spans="5:5" x14ac:dyDescent="0.25">
      <c r="E1100">
        <v>530000</v>
      </c>
    </row>
    <row r="1101" spans="5:5" x14ac:dyDescent="0.25">
      <c r="E1101">
        <v>536000</v>
      </c>
    </row>
    <row r="1102" spans="5:5" x14ac:dyDescent="0.25">
      <c r="E1102">
        <v>542000</v>
      </c>
    </row>
    <row r="1103" spans="5:5" x14ac:dyDescent="0.25">
      <c r="E1103">
        <v>549000</v>
      </c>
    </row>
    <row r="1104" spans="5:5" x14ac:dyDescent="0.25">
      <c r="E1104">
        <v>556000</v>
      </c>
    </row>
    <row r="1105" spans="5:5" x14ac:dyDescent="0.25">
      <c r="E1105">
        <v>562000</v>
      </c>
    </row>
    <row r="1106" spans="5:5" x14ac:dyDescent="0.25">
      <c r="E1106">
        <v>569000</v>
      </c>
    </row>
    <row r="1107" spans="5:5" x14ac:dyDescent="0.25">
      <c r="E1107">
        <v>576000</v>
      </c>
    </row>
    <row r="1108" spans="5:5" x14ac:dyDescent="0.25">
      <c r="E1108">
        <v>583000</v>
      </c>
    </row>
    <row r="1109" spans="5:5" x14ac:dyDescent="0.25">
      <c r="E1109">
        <v>590000</v>
      </c>
    </row>
    <row r="1110" spans="5:5" x14ac:dyDescent="0.25">
      <c r="E1110">
        <v>597000</v>
      </c>
    </row>
    <row r="1111" spans="5:5" x14ac:dyDescent="0.25">
      <c r="E1111">
        <v>604000</v>
      </c>
    </row>
    <row r="1112" spans="5:5" x14ac:dyDescent="0.25">
      <c r="E1112">
        <v>612000</v>
      </c>
    </row>
    <row r="1113" spans="5:5" x14ac:dyDescent="0.25">
      <c r="E1113">
        <v>619000</v>
      </c>
    </row>
    <row r="1114" spans="5:5" x14ac:dyDescent="0.25">
      <c r="E1114">
        <v>626000</v>
      </c>
    </row>
    <row r="1115" spans="5:5" x14ac:dyDescent="0.25">
      <c r="E1115">
        <v>634000</v>
      </c>
    </row>
    <row r="1116" spans="5:5" x14ac:dyDescent="0.25">
      <c r="E1116">
        <v>642000</v>
      </c>
    </row>
    <row r="1117" spans="5:5" x14ac:dyDescent="0.25">
      <c r="E1117">
        <v>649000</v>
      </c>
    </row>
    <row r="1118" spans="5:5" x14ac:dyDescent="0.25">
      <c r="E1118">
        <v>657000</v>
      </c>
    </row>
    <row r="1119" spans="5:5" x14ac:dyDescent="0.25">
      <c r="E1119">
        <v>665000</v>
      </c>
    </row>
    <row r="1120" spans="5:5" x14ac:dyDescent="0.25">
      <c r="E1120">
        <v>673000.00000000012</v>
      </c>
    </row>
    <row r="1121" spans="5:5" x14ac:dyDescent="0.25">
      <c r="E1121">
        <v>681000</v>
      </c>
    </row>
    <row r="1122" spans="5:5" x14ac:dyDescent="0.25">
      <c r="E1122">
        <v>690000</v>
      </c>
    </row>
    <row r="1123" spans="5:5" x14ac:dyDescent="0.25">
      <c r="E1123">
        <v>698000.00000000012</v>
      </c>
    </row>
    <row r="1124" spans="5:5" x14ac:dyDescent="0.25">
      <c r="E1124">
        <v>706000</v>
      </c>
    </row>
    <row r="1125" spans="5:5" x14ac:dyDescent="0.25">
      <c r="E1125">
        <v>715000</v>
      </c>
    </row>
    <row r="1126" spans="5:5" x14ac:dyDescent="0.25">
      <c r="E1126">
        <v>723000.00000000012</v>
      </c>
    </row>
    <row r="1127" spans="5:5" x14ac:dyDescent="0.25">
      <c r="E1127">
        <v>732000</v>
      </c>
    </row>
    <row r="1128" spans="5:5" x14ac:dyDescent="0.25">
      <c r="E1128">
        <v>741000</v>
      </c>
    </row>
    <row r="1129" spans="5:5" x14ac:dyDescent="0.25">
      <c r="E1129">
        <v>750000</v>
      </c>
    </row>
    <row r="1130" spans="5:5" x14ac:dyDescent="0.25">
      <c r="E1130">
        <v>759000</v>
      </c>
    </row>
    <row r="1131" spans="5:5" x14ac:dyDescent="0.25">
      <c r="E1131">
        <v>768000</v>
      </c>
    </row>
    <row r="1132" spans="5:5" x14ac:dyDescent="0.25">
      <c r="E1132">
        <v>776999.99999999988</v>
      </c>
    </row>
    <row r="1133" spans="5:5" x14ac:dyDescent="0.25">
      <c r="E1133">
        <v>787000</v>
      </c>
    </row>
    <row r="1134" spans="5:5" x14ac:dyDescent="0.25">
      <c r="E1134">
        <v>796000</v>
      </c>
    </row>
    <row r="1135" spans="5:5" x14ac:dyDescent="0.25">
      <c r="E1135">
        <v>806000.00000000012</v>
      </c>
    </row>
    <row r="1136" spans="5:5" x14ac:dyDescent="0.25">
      <c r="E1136">
        <v>816000</v>
      </c>
    </row>
    <row r="1137" spans="5:5" x14ac:dyDescent="0.25">
      <c r="E1137">
        <v>825000</v>
      </c>
    </row>
    <row r="1138" spans="5:5" x14ac:dyDescent="0.25">
      <c r="E1138">
        <v>835000</v>
      </c>
    </row>
    <row r="1139" spans="5:5" x14ac:dyDescent="0.25">
      <c r="E1139">
        <v>845000</v>
      </c>
    </row>
    <row r="1140" spans="5:5" x14ac:dyDescent="0.25">
      <c r="E1140">
        <v>856000.00000000012</v>
      </c>
    </row>
    <row r="1141" spans="5:5" x14ac:dyDescent="0.25">
      <c r="E1141">
        <v>866000</v>
      </c>
    </row>
    <row r="1142" spans="5:5" x14ac:dyDescent="0.25">
      <c r="E1142">
        <v>876000</v>
      </c>
    </row>
    <row r="1143" spans="5:5" x14ac:dyDescent="0.25">
      <c r="E1143">
        <v>886999.99999999988</v>
      </c>
    </row>
    <row r="1144" spans="5:5" x14ac:dyDescent="0.25">
      <c r="E1144">
        <v>898000.00000000012</v>
      </c>
    </row>
    <row r="1145" spans="5:5" x14ac:dyDescent="0.25">
      <c r="E1145">
        <v>909000</v>
      </c>
    </row>
    <row r="1146" spans="5:5" x14ac:dyDescent="0.25">
      <c r="E1146">
        <v>920000</v>
      </c>
    </row>
    <row r="1147" spans="5:5" x14ac:dyDescent="0.25">
      <c r="E1147">
        <v>931000.00000000012</v>
      </c>
    </row>
    <row r="1148" spans="5:5" x14ac:dyDescent="0.25">
      <c r="E1148">
        <v>942000</v>
      </c>
    </row>
    <row r="1149" spans="5:5" x14ac:dyDescent="0.25">
      <c r="E1149">
        <v>953000</v>
      </c>
    </row>
    <row r="1150" spans="5:5" x14ac:dyDescent="0.25">
      <c r="E1150">
        <v>965000</v>
      </c>
    </row>
    <row r="1151" spans="5:5" x14ac:dyDescent="0.25">
      <c r="E1151">
        <v>976000</v>
      </c>
    </row>
    <row r="1152" spans="5:5" x14ac:dyDescent="0.25">
      <c r="E1152">
        <v>988000.00000000012</v>
      </c>
    </row>
    <row r="1153" spans="5:5" x14ac:dyDescent="0.25">
      <c r="E1153">
        <v>1000000</v>
      </c>
    </row>
    <row r="1154" spans="5:5" x14ac:dyDescent="0.25">
      <c r="E1154">
        <v>1010000</v>
      </c>
    </row>
    <row r="1155" spans="5:5" x14ac:dyDescent="0.25">
      <c r="E1155">
        <v>1020000</v>
      </c>
    </row>
    <row r="1156" spans="5:5" x14ac:dyDescent="0.25">
      <c r="E1156">
        <v>1040000</v>
      </c>
    </row>
    <row r="1157" spans="5:5" x14ac:dyDescent="0.25">
      <c r="E1157">
        <v>1050000</v>
      </c>
    </row>
    <row r="1158" spans="5:5" x14ac:dyDescent="0.25">
      <c r="E1158">
        <v>1060000.0000000002</v>
      </c>
    </row>
    <row r="1159" spans="5:5" x14ac:dyDescent="0.25">
      <c r="E1159">
        <v>1070000.0000000002</v>
      </c>
    </row>
    <row r="1160" spans="5:5" x14ac:dyDescent="0.25">
      <c r="E1160">
        <v>1090000</v>
      </c>
    </row>
    <row r="1161" spans="5:5" x14ac:dyDescent="0.25">
      <c r="E1161">
        <v>1100000</v>
      </c>
    </row>
    <row r="1162" spans="5:5" x14ac:dyDescent="0.25">
      <c r="E1162">
        <v>1110000.0000000002</v>
      </c>
    </row>
    <row r="1163" spans="5:5" x14ac:dyDescent="0.25">
      <c r="E1163">
        <v>1129999.9999999998</v>
      </c>
    </row>
    <row r="1164" spans="5:5" x14ac:dyDescent="0.25">
      <c r="E1164">
        <v>1139999.9999999998</v>
      </c>
    </row>
    <row r="1165" spans="5:5" x14ac:dyDescent="0.25">
      <c r="E1165">
        <v>1150000</v>
      </c>
    </row>
    <row r="1166" spans="5:5" x14ac:dyDescent="0.25">
      <c r="E1166">
        <v>1170000</v>
      </c>
    </row>
    <row r="1167" spans="5:5" x14ac:dyDescent="0.25">
      <c r="E1167">
        <v>1179999.9999999998</v>
      </c>
    </row>
    <row r="1168" spans="5:5" x14ac:dyDescent="0.25">
      <c r="E1168">
        <v>1200000</v>
      </c>
    </row>
    <row r="1169" spans="5:5" x14ac:dyDescent="0.25">
      <c r="E1169">
        <v>1210000</v>
      </c>
    </row>
    <row r="1170" spans="5:5" x14ac:dyDescent="0.25">
      <c r="E1170">
        <v>1230000</v>
      </c>
    </row>
    <row r="1171" spans="5:5" x14ac:dyDescent="0.25">
      <c r="E1171">
        <v>1240000</v>
      </c>
    </row>
    <row r="1172" spans="5:5" x14ac:dyDescent="0.25">
      <c r="E1172">
        <v>1260000</v>
      </c>
    </row>
    <row r="1173" spans="5:5" x14ac:dyDescent="0.25">
      <c r="E1173">
        <v>1270000</v>
      </c>
    </row>
    <row r="1174" spans="5:5" x14ac:dyDescent="0.25">
      <c r="E1174">
        <v>1290000</v>
      </c>
    </row>
    <row r="1175" spans="5:5" x14ac:dyDescent="0.25">
      <c r="E1175">
        <v>1300000</v>
      </c>
    </row>
    <row r="1176" spans="5:5" x14ac:dyDescent="0.25">
      <c r="E1176">
        <v>1320000</v>
      </c>
    </row>
    <row r="1177" spans="5:5" x14ac:dyDescent="0.25">
      <c r="E1177">
        <v>1330000</v>
      </c>
    </row>
    <row r="1178" spans="5:5" x14ac:dyDescent="0.25">
      <c r="E1178">
        <v>1350000</v>
      </c>
    </row>
    <row r="1179" spans="5:5" x14ac:dyDescent="0.25">
      <c r="E1179">
        <v>1370000</v>
      </c>
    </row>
    <row r="1180" spans="5:5" x14ac:dyDescent="0.25">
      <c r="E1180">
        <v>1380000</v>
      </c>
    </row>
    <row r="1181" spans="5:5" x14ac:dyDescent="0.25">
      <c r="E1181">
        <v>1400000</v>
      </c>
    </row>
    <row r="1182" spans="5:5" x14ac:dyDescent="0.25">
      <c r="E1182">
        <v>1420000</v>
      </c>
    </row>
    <row r="1183" spans="5:5" x14ac:dyDescent="0.25">
      <c r="E1183">
        <v>1430000</v>
      </c>
    </row>
    <row r="1184" spans="5:5" x14ac:dyDescent="0.25">
      <c r="E1184">
        <v>1450000</v>
      </c>
    </row>
    <row r="1185" spans="5:5" x14ac:dyDescent="0.25">
      <c r="E1185">
        <v>1470000</v>
      </c>
    </row>
    <row r="1186" spans="5:5" x14ac:dyDescent="0.25">
      <c r="E1186">
        <v>1490000</v>
      </c>
    </row>
    <row r="1187" spans="5:5" x14ac:dyDescent="0.25">
      <c r="E1187">
        <v>1500000</v>
      </c>
    </row>
    <row r="1188" spans="5:5" x14ac:dyDescent="0.25">
      <c r="E1188">
        <v>1520000</v>
      </c>
    </row>
    <row r="1189" spans="5:5" x14ac:dyDescent="0.25">
      <c r="E1189">
        <v>1540000</v>
      </c>
    </row>
    <row r="1190" spans="5:5" x14ac:dyDescent="0.25">
      <c r="E1190">
        <v>1560000</v>
      </c>
    </row>
    <row r="1191" spans="5:5" x14ac:dyDescent="0.25">
      <c r="E1191">
        <v>1580000</v>
      </c>
    </row>
    <row r="1192" spans="5:5" x14ac:dyDescent="0.25">
      <c r="E1192">
        <v>1600000</v>
      </c>
    </row>
    <row r="1193" spans="5:5" x14ac:dyDescent="0.25">
      <c r="E1193">
        <v>1620000.0000000002</v>
      </c>
    </row>
    <row r="1194" spans="5:5" x14ac:dyDescent="0.25">
      <c r="E1194">
        <v>1640000</v>
      </c>
    </row>
    <row r="1195" spans="5:5" x14ac:dyDescent="0.25">
      <c r="E1195">
        <v>1650000</v>
      </c>
    </row>
    <row r="1196" spans="5:5" x14ac:dyDescent="0.25">
      <c r="E1196">
        <v>1670000</v>
      </c>
    </row>
    <row r="1197" spans="5:5" x14ac:dyDescent="0.25">
      <c r="E1197">
        <v>1690000</v>
      </c>
    </row>
    <row r="1198" spans="5:5" x14ac:dyDescent="0.25">
      <c r="E1198">
        <v>1720000</v>
      </c>
    </row>
    <row r="1199" spans="5:5" x14ac:dyDescent="0.25">
      <c r="E1199">
        <v>1740000</v>
      </c>
    </row>
    <row r="1200" spans="5:5" x14ac:dyDescent="0.25">
      <c r="E1200">
        <v>1760000</v>
      </c>
    </row>
    <row r="1201" spans="5:5" x14ac:dyDescent="0.25">
      <c r="E1201">
        <v>1780000</v>
      </c>
    </row>
    <row r="1202" spans="5:5" x14ac:dyDescent="0.25">
      <c r="E1202">
        <v>1800000</v>
      </c>
    </row>
    <row r="1203" spans="5:5" x14ac:dyDescent="0.25">
      <c r="E1203">
        <v>1820000</v>
      </c>
    </row>
    <row r="1204" spans="5:5" x14ac:dyDescent="0.25">
      <c r="E1204">
        <v>1840000.0000000002</v>
      </c>
    </row>
    <row r="1205" spans="5:5" x14ac:dyDescent="0.25">
      <c r="E1205">
        <v>1870000.0000000002</v>
      </c>
    </row>
    <row r="1206" spans="5:5" x14ac:dyDescent="0.25">
      <c r="E1206">
        <v>1890000</v>
      </c>
    </row>
    <row r="1207" spans="5:5" x14ac:dyDescent="0.25">
      <c r="E1207">
        <v>1909999.9999999998</v>
      </c>
    </row>
    <row r="1208" spans="5:5" x14ac:dyDescent="0.25">
      <c r="E1208">
        <v>1930000</v>
      </c>
    </row>
    <row r="1209" spans="5:5" x14ac:dyDescent="0.25">
      <c r="E1209">
        <v>1960000</v>
      </c>
    </row>
    <row r="1210" spans="5:5" x14ac:dyDescent="0.25">
      <c r="E1210">
        <v>1980000</v>
      </c>
    </row>
    <row r="1211" spans="5:5" x14ac:dyDescent="0.25">
      <c r="E1211">
        <v>2000000</v>
      </c>
    </row>
    <row r="1212" spans="5:5" x14ac:dyDescent="0.25">
      <c r="E1212">
        <v>2029999.9999999998</v>
      </c>
    </row>
    <row r="1213" spans="5:5" x14ac:dyDescent="0.25">
      <c r="E1213">
        <v>2050000</v>
      </c>
    </row>
    <row r="1214" spans="5:5" x14ac:dyDescent="0.25">
      <c r="E1214">
        <v>2080000</v>
      </c>
    </row>
    <row r="1215" spans="5:5" x14ac:dyDescent="0.25">
      <c r="E1215">
        <v>2100000</v>
      </c>
    </row>
    <row r="1216" spans="5:5" x14ac:dyDescent="0.25">
      <c r="E1216">
        <v>2129999.9999999995</v>
      </c>
    </row>
    <row r="1217" spans="5:5" x14ac:dyDescent="0.25">
      <c r="E1217">
        <v>2150000</v>
      </c>
    </row>
    <row r="1218" spans="5:5" x14ac:dyDescent="0.25">
      <c r="E1218">
        <v>2180000</v>
      </c>
    </row>
    <row r="1219" spans="5:5" x14ac:dyDescent="0.25">
      <c r="E1219">
        <v>2210000</v>
      </c>
    </row>
    <row r="1220" spans="5:5" x14ac:dyDescent="0.25">
      <c r="E1220">
        <v>2230000</v>
      </c>
    </row>
    <row r="1221" spans="5:5" x14ac:dyDescent="0.25">
      <c r="E1221">
        <v>2259999.9999999995</v>
      </c>
    </row>
    <row r="1222" spans="5:5" x14ac:dyDescent="0.25">
      <c r="E1222">
        <v>2290000</v>
      </c>
    </row>
    <row r="1223" spans="5:5" x14ac:dyDescent="0.25">
      <c r="E1223">
        <v>2320000</v>
      </c>
    </row>
    <row r="1224" spans="5:5" x14ac:dyDescent="0.25">
      <c r="E1224">
        <v>2340000</v>
      </c>
    </row>
    <row r="1225" spans="5:5" x14ac:dyDescent="0.25">
      <c r="E1225">
        <v>2370000.0000000005</v>
      </c>
    </row>
    <row r="1226" spans="5:5" x14ac:dyDescent="0.25">
      <c r="E1226">
        <v>2400000</v>
      </c>
    </row>
    <row r="1227" spans="5:5" x14ac:dyDescent="0.25">
      <c r="E1227">
        <v>2430000</v>
      </c>
    </row>
    <row r="1228" spans="5:5" x14ac:dyDescent="0.25">
      <c r="E1228">
        <v>2460000</v>
      </c>
    </row>
    <row r="1229" spans="5:5" x14ac:dyDescent="0.25">
      <c r="E1229">
        <v>2490000.0000000005</v>
      </c>
    </row>
    <row r="1230" spans="5:5" x14ac:dyDescent="0.25">
      <c r="E1230">
        <v>2520000</v>
      </c>
    </row>
    <row r="1231" spans="5:5" x14ac:dyDescent="0.25">
      <c r="E1231">
        <v>2550000</v>
      </c>
    </row>
    <row r="1232" spans="5:5" x14ac:dyDescent="0.25">
      <c r="E1232">
        <v>2580000</v>
      </c>
    </row>
    <row r="1233" spans="5:5" x14ac:dyDescent="0.25">
      <c r="E1233">
        <v>2610000</v>
      </c>
    </row>
    <row r="1234" spans="5:5" x14ac:dyDescent="0.25">
      <c r="E1234">
        <v>2640000</v>
      </c>
    </row>
    <row r="1235" spans="5:5" x14ac:dyDescent="0.25">
      <c r="E1235">
        <v>2670000</v>
      </c>
    </row>
    <row r="1236" spans="5:5" x14ac:dyDescent="0.25">
      <c r="E1236">
        <v>2710000</v>
      </c>
    </row>
    <row r="1237" spans="5:5" x14ac:dyDescent="0.25">
      <c r="E1237">
        <v>2740000</v>
      </c>
    </row>
    <row r="1238" spans="5:5" x14ac:dyDescent="0.25">
      <c r="E1238">
        <v>2770000</v>
      </c>
    </row>
    <row r="1239" spans="5:5" x14ac:dyDescent="0.25">
      <c r="E1239">
        <v>2800000</v>
      </c>
    </row>
    <row r="1240" spans="5:5" x14ac:dyDescent="0.25">
      <c r="E1240">
        <v>2840000</v>
      </c>
    </row>
    <row r="1241" spans="5:5" x14ac:dyDescent="0.25">
      <c r="E1241">
        <v>2870000</v>
      </c>
    </row>
    <row r="1242" spans="5:5" x14ac:dyDescent="0.25">
      <c r="E1242">
        <v>2910000</v>
      </c>
    </row>
    <row r="1243" spans="5:5" x14ac:dyDescent="0.25">
      <c r="E1243">
        <v>2940000</v>
      </c>
    </row>
    <row r="1244" spans="5:5" x14ac:dyDescent="0.25">
      <c r="E1244">
        <v>2980000</v>
      </c>
    </row>
    <row r="1245" spans="5:5" x14ac:dyDescent="0.25">
      <c r="E1245">
        <v>3010000</v>
      </c>
    </row>
    <row r="1246" spans="5:5" x14ac:dyDescent="0.25">
      <c r="E1246">
        <v>3050000</v>
      </c>
    </row>
    <row r="1247" spans="5:5" x14ac:dyDescent="0.25">
      <c r="E1247">
        <v>3090000</v>
      </c>
    </row>
    <row r="1248" spans="5:5" x14ac:dyDescent="0.25">
      <c r="E1248">
        <v>3120000</v>
      </c>
    </row>
    <row r="1249" spans="5:5" x14ac:dyDescent="0.25">
      <c r="E1249">
        <v>3160000</v>
      </c>
    </row>
    <row r="1250" spans="5:5" x14ac:dyDescent="0.25">
      <c r="E1250">
        <v>3200000</v>
      </c>
    </row>
    <row r="1251" spans="5:5" x14ac:dyDescent="0.25">
      <c r="E1251">
        <v>3240000.0000000005</v>
      </c>
    </row>
    <row r="1252" spans="5:5" x14ac:dyDescent="0.25">
      <c r="E1252">
        <v>3280000</v>
      </c>
    </row>
    <row r="1253" spans="5:5" x14ac:dyDescent="0.25">
      <c r="E1253">
        <v>3319999.9999999995</v>
      </c>
    </row>
    <row r="1254" spans="5:5" x14ac:dyDescent="0.25">
      <c r="E1254">
        <v>3360000</v>
      </c>
    </row>
    <row r="1255" spans="5:5" x14ac:dyDescent="0.25">
      <c r="E1255">
        <v>3400000</v>
      </c>
    </row>
    <row r="1256" spans="5:5" x14ac:dyDescent="0.25">
      <c r="E1256">
        <v>3440000</v>
      </c>
    </row>
    <row r="1257" spans="5:5" x14ac:dyDescent="0.25">
      <c r="E1257">
        <v>3480000</v>
      </c>
    </row>
    <row r="1258" spans="5:5" x14ac:dyDescent="0.25">
      <c r="E1258">
        <v>3520000</v>
      </c>
    </row>
    <row r="1259" spans="5:5" x14ac:dyDescent="0.25">
      <c r="E1259">
        <v>3569999.9999999995</v>
      </c>
    </row>
    <row r="1260" spans="5:5" x14ac:dyDescent="0.25">
      <c r="E1260">
        <v>3610000</v>
      </c>
    </row>
    <row r="1261" spans="5:5" x14ac:dyDescent="0.25">
      <c r="E1261">
        <v>3650000</v>
      </c>
    </row>
    <row r="1262" spans="5:5" x14ac:dyDescent="0.25">
      <c r="E1262">
        <v>3700000</v>
      </c>
    </row>
    <row r="1263" spans="5:5" x14ac:dyDescent="0.25">
      <c r="E1263">
        <v>3740000.0000000005</v>
      </c>
    </row>
    <row r="1264" spans="5:5" x14ac:dyDescent="0.25">
      <c r="E1264">
        <v>3790000</v>
      </c>
    </row>
    <row r="1265" spans="5:5" x14ac:dyDescent="0.25">
      <c r="E1265">
        <v>3830000</v>
      </c>
    </row>
    <row r="1266" spans="5:5" x14ac:dyDescent="0.25">
      <c r="E1266">
        <v>3880000</v>
      </c>
    </row>
    <row r="1267" spans="5:5" x14ac:dyDescent="0.25">
      <c r="E1267">
        <v>3920000</v>
      </c>
    </row>
    <row r="1268" spans="5:5" x14ac:dyDescent="0.25">
      <c r="E1268">
        <v>3970000</v>
      </c>
    </row>
    <row r="1269" spans="5:5" x14ac:dyDescent="0.25">
      <c r="E1269">
        <v>4019999.9999999995</v>
      </c>
    </row>
    <row r="1270" spans="5:5" x14ac:dyDescent="0.25">
      <c r="E1270">
        <v>4070000</v>
      </c>
    </row>
    <row r="1271" spans="5:5" x14ac:dyDescent="0.25">
      <c r="E1271">
        <v>4120000</v>
      </c>
    </row>
    <row r="1272" spans="5:5" x14ac:dyDescent="0.25">
      <c r="E1272">
        <v>4170000</v>
      </c>
    </row>
    <row r="1273" spans="5:5" x14ac:dyDescent="0.25">
      <c r="E1273">
        <v>4219999.9999999991</v>
      </c>
    </row>
    <row r="1274" spans="5:5" x14ac:dyDescent="0.25">
      <c r="E1274">
        <v>4269999.9999999991</v>
      </c>
    </row>
    <row r="1275" spans="5:5" x14ac:dyDescent="0.25">
      <c r="E1275">
        <v>4320000</v>
      </c>
    </row>
    <row r="1276" spans="5:5" x14ac:dyDescent="0.25">
      <c r="E1276">
        <v>4370000</v>
      </c>
    </row>
    <row r="1277" spans="5:5" x14ac:dyDescent="0.25">
      <c r="E1277">
        <v>4420000</v>
      </c>
    </row>
    <row r="1278" spans="5:5" x14ac:dyDescent="0.25">
      <c r="E1278">
        <v>4480000.0000000009</v>
      </c>
    </row>
    <row r="1279" spans="5:5" x14ac:dyDescent="0.25">
      <c r="E1279">
        <v>4530000.0000000009</v>
      </c>
    </row>
    <row r="1280" spans="5:5" x14ac:dyDescent="0.25">
      <c r="E1280">
        <v>4590000</v>
      </c>
    </row>
    <row r="1281" spans="5:5" x14ac:dyDescent="0.25">
      <c r="E1281">
        <v>4640000</v>
      </c>
    </row>
    <row r="1282" spans="5:5" x14ac:dyDescent="0.25">
      <c r="E1282">
        <v>4700000</v>
      </c>
    </row>
    <row r="1283" spans="5:5" x14ac:dyDescent="0.25">
      <c r="E1283">
        <v>4750000</v>
      </c>
    </row>
    <row r="1284" spans="5:5" x14ac:dyDescent="0.25">
      <c r="E1284">
        <v>4809999.9999999991</v>
      </c>
    </row>
    <row r="1285" spans="5:5" x14ac:dyDescent="0.25">
      <c r="E1285">
        <v>4870000</v>
      </c>
    </row>
    <row r="1286" spans="5:5" x14ac:dyDescent="0.25">
      <c r="E1286">
        <v>4930000</v>
      </c>
    </row>
    <row r="1287" spans="5:5" x14ac:dyDescent="0.25">
      <c r="E1287">
        <v>4990000.0000000009</v>
      </c>
    </row>
    <row r="1288" spans="5:5" x14ac:dyDescent="0.25">
      <c r="E1288">
        <v>5050000</v>
      </c>
    </row>
    <row r="1289" spans="5:5" x14ac:dyDescent="0.25">
      <c r="E1289">
        <v>5110000</v>
      </c>
    </row>
    <row r="1290" spans="5:5" x14ac:dyDescent="0.25">
      <c r="E1290">
        <v>5170000</v>
      </c>
    </row>
    <row r="1291" spans="5:5" x14ac:dyDescent="0.25">
      <c r="E1291">
        <v>5230000</v>
      </c>
    </row>
    <row r="1292" spans="5:5" x14ac:dyDescent="0.25">
      <c r="E1292">
        <v>5300000</v>
      </c>
    </row>
    <row r="1293" spans="5:5" x14ac:dyDescent="0.25">
      <c r="E1293">
        <v>5360000</v>
      </c>
    </row>
    <row r="1294" spans="5:5" x14ac:dyDescent="0.25">
      <c r="E1294">
        <v>5420000</v>
      </c>
    </row>
    <row r="1295" spans="5:5" x14ac:dyDescent="0.25">
      <c r="E1295">
        <v>5490000</v>
      </c>
    </row>
    <row r="1296" spans="5:5" x14ac:dyDescent="0.25">
      <c r="E1296">
        <v>5560000</v>
      </c>
    </row>
    <row r="1297" spans="5:5" x14ac:dyDescent="0.25">
      <c r="E1297">
        <v>5620000</v>
      </c>
    </row>
    <row r="1298" spans="5:5" x14ac:dyDescent="0.25">
      <c r="E1298">
        <v>5690000</v>
      </c>
    </row>
    <row r="1299" spans="5:5" x14ac:dyDescent="0.25">
      <c r="E1299">
        <v>5760000</v>
      </c>
    </row>
    <row r="1300" spans="5:5" x14ac:dyDescent="0.25">
      <c r="E1300">
        <v>5830000</v>
      </c>
    </row>
    <row r="1301" spans="5:5" x14ac:dyDescent="0.25">
      <c r="E1301">
        <v>5900000</v>
      </c>
    </row>
    <row r="1302" spans="5:5" x14ac:dyDescent="0.25">
      <c r="E1302">
        <v>5970000</v>
      </c>
    </row>
    <row r="1303" spans="5:5" x14ac:dyDescent="0.25">
      <c r="E1303">
        <v>6040000</v>
      </c>
    </row>
    <row r="1304" spans="5:5" x14ac:dyDescent="0.25">
      <c r="E1304">
        <v>6120000</v>
      </c>
    </row>
    <row r="1305" spans="5:5" x14ac:dyDescent="0.25">
      <c r="E1305">
        <v>6190000</v>
      </c>
    </row>
    <row r="1306" spans="5:5" x14ac:dyDescent="0.25">
      <c r="E1306">
        <v>6260000</v>
      </c>
    </row>
    <row r="1307" spans="5:5" x14ac:dyDescent="0.25">
      <c r="E1307">
        <v>6340000</v>
      </c>
    </row>
    <row r="1308" spans="5:5" x14ac:dyDescent="0.25">
      <c r="E1308">
        <v>6420000</v>
      </c>
    </row>
    <row r="1309" spans="5:5" x14ac:dyDescent="0.25">
      <c r="E1309">
        <v>6490000</v>
      </c>
    </row>
    <row r="1310" spans="5:5" x14ac:dyDescent="0.25">
      <c r="E1310">
        <v>6570000</v>
      </c>
    </row>
    <row r="1311" spans="5:5" x14ac:dyDescent="0.25">
      <c r="E1311">
        <v>6650000</v>
      </c>
    </row>
    <row r="1312" spans="5:5" x14ac:dyDescent="0.25">
      <c r="E1312">
        <v>6730000.0000000009</v>
      </c>
    </row>
    <row r="1313" spans="5:5" x14ac:dyDescent="0.25">
      <c r="E1313">
        <v>6810000</v>
      </c>
    </row>
    <row r="1314" spans="5:5" x14ac:dyDescent="0.25">
      <c r="E1314">
        <v>6900000</v>
      </c>
    </row>
    <row r="1315" spans="5:5" x14ac:dyDescent="0.25">
      <c r="E1315">
        <v>6980000.0000000009</v>
      </c>
    </row>
    <row r="1316" spans="5:5" x14ac:dyDescent="0.25">
      <c r="E1316">
        <v>7060000</v>
      </c>
    </row>
    <row r="1317" spans="5:5" x14ac:dyDescent="0.25">
      <c r="E1317">
        <v>7150000</v>
      </c>
    </row>
    <row r="1318" spans="5:5" x14ac:dyDescent="0.25">
      <c r="E1318">
        <v>7230000.0000000009</v>
      </c>
    </row>
    <row r="1319" spans="5:5" x14ac:dyDescent="0.25">
      <c r="E1319">
        <v>7320000</v>
      </c>
    </row>
    <row r="1320" spans="5:5" x14ac:dyDescent="0.25">
      <c r="E1320">
        <v>7410000</v>
      </c>
    </row>
    <row r="1321" spans="5:5" x14ac:dyDescent="0.25">
      <c r="E1321">
        <v>7500000</v>
      </c>
    </row>
    <row r="1322" spans="5:5" x14ac:dyDescent="0.25">
      <c r="E1322">
        <v>7590000</v>
      </c>
    </row>
    <row r="1323" spans="5:5" x14ac:dyDescent="0.25">
      <c r="E1323">
        <v>7680000</v>
      </c>
    </row>
    <row r="1324" spans="5:5" x14ac:dyDescent="0.25">
      <c r="E1324">
        <v>7769999.9999999991</v>
      </c>
    </row>
    <row r="1325" spans="5:5" x14ac:dyDescent="0.25">
      <c r="E1325">
        <v>7870000</v>
      </c>
    </row>
    <row r="1326" spans="5:5" x14ac:dyDescent="0.25">
      <c r="E1326">
        <v>7960000</v>
      </c>
    </row>
    <row r="1327" spans="5:5" x14ac:dyDescent="0.25">
      <c r="E1327">
        <v>8060000.0000000009</v>
      </c>
    </row>
    <row r="1328" spans="5:5" x14ac:dyDescent="0.25">
      <c r="E1328">
        <v>8160000</v>
      </c>
    </row>
    <row r="1329" spans="5:5" x14ac:dyDescent="0.25">
      <c r="E1329">
        <v>8250000</v>
      </c>
    </row>
    <row r="1330" spans="5:5" x14ac:dyDescent="0.25">
      <c r="E1330">
        <v>8350000</v>
      </c>
    </row>
    <row r="1331" spans="5:5" x14ac:dyDescent="0.25">
      <c r="E1331">
        <v>8450000</v>
      </c>
    </row>
    <row r="1332" spans="5:5" x14ac:dyDescent="0.25">
      <c r="E1332">
        <v>8560000.0000000019</v>
      </c>
    </row>
    <row r="1333" spans="5:5" x14ac:dyDescent="0.25">
      <c r="E1333">
        <v>8660000</v>
      </c>
    </row>
    <row r="1334" spans="5:5" x14ac:dyDescent="0.25">
      <c r="E1334">
        <v>8760000</v>
      </c>
    </row>
    <row r="1335" spans="5:5" x14ac:dyDescent="0.25">
      <c r="E1335">
        <v>8869999.9999999981</v>
      </c>
    </row>
    <row r="1336" spans="5:5" x14ac:dyDescent="0.25">
      <c r="E1336">
        <v>8980000.0000000019</v>
      </c>
    </row>
    <row r="1337" spans="5:5" x14ac:dyDescent="0.25">
      <c r="E1337">
        <v>9090000</v>
      </c>
    </row>
    <row r="1338" spans="5:5" x14ac:dyDescent="0.25">
      <c r="E1338">
        <v>9200000</v>
      </c>
    </row>
    <row r="1339" spans="5:5" x14ac:dyDescent="0.25">
      <c r="E1339">
        <v>9310000.0000000019</v>
      </c>
    </row>
    <row r="1340" spans="5:5" x14ac:dyDescent="0.25">
      <c r="E1340">
        <v>9420000</v>
      </c>
    </row>
    <row r="1341" spans="5:5" x14ac:dyDescent="0.25">
      <c r="E1341">
        <v>9530000</v>
      </c>
    </row>
    <row r="1342" spans="5:5" x14ac:dyDescent="0.25">
      <c r="E1342">
        <v>9650000</v>
      </c>
    </row>
    <row r="1343" spans="5:5" x14ac:dyDescent="0.25">
      <c r="E1343">
        <v>9760000</v>
      </c>
    </row>
    <row r="1344" spans="5:5" x14ac:dyDescent="0.25">
      <c r="E1344">
        <v>9880000.0000000019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Voltage Output Mode</vt:lpstr>
      <vt:lpstr>Current Output Mode</vt:lpstr>
      <vt:lpstr>RawCalculations</vt:lpstr>
      <vt:lpstr>Pseudocode</vt:lpstr>
      <vt:lpstr>ResistorValues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Aarstad, Cassidy</dc:creator>
  <cp:lastModifiedBy>Volkov, Illia</cp:lastModifiedBy>
  <dcterms:created xsi:type="dcterms:W3CDTF">2021-06-10T06:16:58Z</dcterms:created>
  <dcterms:modified xsi:type="dcterms:W3CDTF">2023-06-01T12:54:08Z</dcterms:modified>
</cp:coreProperties>
</file>