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defaultThemeVersion="124226"/>
  <xr:revisionPtr revIDLastSave="0" documentId="13_ncr:1_{B67D0F42-2975-4135-BC8A-A2859204D2E6}" xr6:coauthVersionLast="47" xr6:coauthVersionMax="47" xr10:uidLastSave="{00000000-0000-0000-0000-000000000000}"/>
  <bookViews>
    <workbookView xWindow="-120" yWindow="-120" windowWidth="29040" windowHeight="17520" xr2:uid="{00000000-000D-0000-FFFF-FFFF00000000}"/>
  </bookViews>
  <sheets>
    <sheet name="Dual Output" sheetId="17" r:id="rId1"/>
    <sheet name="Single Output" sheetId="20" r:id="rId2"/>
    <sheet name="Vin UVLO Prog. &amp; Startup Delay" sheetId="19" r:id="rId3"/>
  </sheets>
  <externalReferences>
    <externalReference r:id="rId4"/>
  </externalReferences>
  <definedNames>
    <definedName name="_∆V_MIN">'[1]Main Calculation'!$D$33</definedName>
    <definedName name="_∆VO_ABM">'[1]Main Calculation'!$D$27</definedName>
    <definedName name="BUR" localSheetId="0">'Dual Output'!#REF!</definedName>
    <definedName name="BUR" localSheetId="1">'Single Output'!#REF!</definedName>
    <definedName name="BUR" localSheetId="2">'Vin UVLO Prog. &amp; Startup Delay'!#REF!</definedName>
    <definedName name="BUR">#REF!</definedName>
    <definedName name="Cboot">'[1]Main Calculation'!$D$148</definedName>
    <definedName name="CBootD_T" localSheetId="0">'Dual Output'!#REF!</definedName>
    <definedName name="CBootD_T" localSheetId="1">'Single Output'!#REF!</definedName>
    <definedName name="CBootD_T" localSheetId="2">'Vin UVLO Prog. &amp; Startup Delay'!#REF!</definedName>
    <definedName name="CBootD_T">#REF!</definedName>
    <definedName name="CBULK" localSheetId="0">'Dual Output'!#REF!</definedName>
    <definedName name="CBULK" localSheetId="1">'Single Output'!#REF!</definedName>
    <definedName name="CBULK" localSheetId="2">'Vin UVLO Prog. &amp; Startup Delay'!#REF!</definedName>
    <definedName name="CBULK">#REF!</definedName>
    <definedName name="CBULK_act" localSheetId="0">'Dual Output'!#REF!</definedName>
    <definedName name="CBULK_act" localSheetId="1">'Single Output'!#REF!</definedName>
    <definedName name="CBULK_act" localSheetId="2">'Vin UVLO Prog. &amp; Startup Delay'!#REF!</definedName>
    <definedName name="CBULK_act">#REF!</definedName>
    <definedName name="CBULK_rec" localSheetId="0">'Dual Output'!#REF!</definedName>
    <definedName name="CBULK_rec" localSheetId="1">'Single Output'!#REF!</definedName>
    <definedName name="CBULK_rec" localSheetId="2">'Vin UVLO Prog. &amp; Startup Delay'!#REF!</definedName>
    <definedName name="CBULK_rec">#REF!</definedName>
    <definedName name="CBUR">'[1]Main Calculation'!$D$124</definedName>
    <definedName name="CBUR_act">'[1]Main Calculation'!$D$123</definedName>
    <definedName name="CBUR_rec">'[1]Main Calculation'!$D$122</definedName>
    <definedName name="Cclamp">'[1]Main Calculation'!$D$70</definedName>
    <definedName name="Cclamp_act">'[1]Main Calculation'!$D$69</definedName>
    <definedName name="Cclamp_rec">'[1]Main Calculation'!$D$68</definedName>
    <definedName name="CCS">'[1]Main Calculation'!$D$97</definedName>
    <definedName name="CCS_act">'[1]Main Calculation'!$D$96</definedName>
    <definedName name="CCS_rec">'[1]Main Calculation'!$D$95</definedName>
    <definedName name="CDaux_H" localSheetId="0">'Dual Output'!#REF!</definedName>
    <definedName name="CDaux_H" localSheetId="1">'Single Output'!#REF!</definedName>
    <definedName name="CDaux_H" localSheetId="2">'Vin UVLO Prog. &amp; Startup Delay'!#REF!</definedName>
    <definedName name="CDaux_H">#REF!</definedName>
    <definedName name="CDaux_T" localSheetId="0">'Dual Output'!#REF!</definedName>
    <definedName name="CDaux_T" localSheetId="1">'Single Output'!#REF!</definedName>
    <definedName name="CDaux_T" localSheetId="2">'Vin UVLO Prog. &amp; Startup Delay'!#REF!</definedName>
    <definedName name="CDaux_T">#REF!</definedName>
    <definedName name="CDD_1">'[1]Main Calculation'!$D$164</definedName>
    <definedName name="CDD1_act">'[1]Main Calculation'!$D$163</definedName>
    <definedName name="CDD1_rec">'[1]Main Calculation'!$D$162</definedName>
    <definedName name="CDD2_">'[1]Main Calculation'!$D$150</definedName>
    <definedName name="Cdiff">'[1]Main Calculation'!$D$195</definedName>
    <definedName name="Cdiff_act">'[1]Main Calculation'!$D$194</definedName>
    <definedName name="Cdiff_rec">'[1]Main Calculation'!$D$193</definedName>
    <definedName name="CDz" localSheetId="0">'Dual Output'!#REF!</definedName>
    <definedName name="CDz" localSheetId="1">'Single Output'!#REF!</definedName>
    <definedName name="CDz" localSheetId="2">'Vin UVLO Prog. &amp; Startup Delay'!#REF!</definedName>
    <definedName name="CDz">#REF!</definedName>
    <definedName name="CFB">'[1]Main Calculation'!$D$170</definedName>
    <definedName name="CHVG">'[1]Main Calculation'!$D$140</definedName>
    <definedName name="CHVG_act">'[1]Main Calculation'!$D$139</definedName>
    <definedName name="CHVG_rec">'[1]Main Calculation'!$D$138</definedName>
    <definedName name="Cint">'[1]Main Calculation'!$D$202</definedName>
    <definedName name="Cint_act">'[1]Main Calculation'!$D$201</definedName>
    <definedName name="Cint_rec">'[1]Main Calculation'!$D$200</definedName>
    <definedName name="Ciss_Qs" localSheetId="0">'Dual Output'!#REF!</definedName>
    <definedName name="Ciss_Qs" localSheetId="1">'Single Output'!#REF!</definedName>
    <definedName name="Ciss_Qs" localSheetId="2">'Vin UVLO Prog. &amp; Startup Delay'!#REF!</definedName>
    <definedName name="Ciss_Qs">#REF!</definedName>
    <definedName name="Co_1">'[1]Secondary Resonance'!$E$25:$G$25</definedName>
    <definedName name="Co1_dec">'[1]Secondary Resonance'!$E$23</definedName>
    <definedName name="COM_VEE" localSheetId="0">'Dual Output'!$C$14</definedName>
    <definedName name="COM_VEE" localSheetId="1">'Single Output'!#REF!</definedName>
    <definedName name="COM_VEE" localSheetId="2">'Vin UVLO Prog. &amp; Startup Delay'!#REF!</definedName>
    <definedName name="COM_VEE">#REF!</definedName>
    <definedName name="COSS_QH_bg" localSheetId="0">'Dual Output'!#REF!</definedName>
    <definedName name="COSS_QH_bg" localSheetId="1">'Single Output'!#REF!</definedName>
    <definedName name="COSS_QH_bg" localSheetId="2">'Vin UVLO Prog. &amp; Startup Delay'!#REF!</definedName>
    <definedName name="COSS_QH_bg">#REF!</definedName>
    <definedName name="COSS_QH_sm" localSheetId="0">'Dual Output'!#REF!</definedName>
    <definedName name="COSS_QH_sm" localSheetId="1">'Single Output'!#REF!</definedName>
    <definedName name="COSS_QH_sm" localSheetId="2">'Vin UVLO Prog. &amp; Startup Delay'!#REF!</definedName>
    <definedName name="COSS_QH_sm">#REF!</definedName>
    <definedName name="Coss_QH_T" localSheetId="0">'Dual Output'!#REF!</definedName>
    <definedName name="Coss_QH_T" localSheetId="1">'Single Output'!#REF!</definedName>
    <definedName name="Coss_QH_T" localSheetId="2">'Vin UVLO Prog. &amp; Startup Delay'!#REF!</definedName>
    <definedName name="Coss_QH_T">#REF!</definedName>
    <definedName name="COSS_QL_bg" localSheetId="0">'Dual Output'!#REF!</definedName>
    <definedName name="COSS_QL_bg" localSheetId="1">'Single Output'!#REF!</definedName>
    <definedName name="COSS_QL_bg" localSheetId="2">'Vin UVLO Prog. &amp; Startup Delay'!#REF!</definedName>
    <definedName name="COSS_QL_bg">#REF!</definedName>
    <definedName name="COSS_QL_sm" localSheetId="0">'Dual Output'!#REF!</definedName>
    <definedName name="COSS_QL_sm" localSheetId="1">'Single Output'!#REF!</definedName>
    <definedName name="COSS_QL_sm" localSheetId="2">'Vin UVLO Prog. &amp; Startup Delay'!#REF!</definedName>
    <definedName name="COSS_QL_sm">#REF!</definedName>
    <definedName name="COSS_Qs" localSheetId="0">'Dual Output'!#REF!</definedName>
    <definedName name="COSS_Qs" localSheetId="1">'Single Output'!#REF!</definedName>
    <definedName name="COSS_Qs" localSheetId="2">'Vin UVLO Prog. &amp; Startup Delay'!#REF!</definedName>
    <definedName name="COSS_Qs">#REF!</definedName>
    <definedName name="Coss_SR_bg" localSheetId="0">'Dual Output'!#REF!</definedName>
    <definedName name="Coss_SR_bg" localSheetId="1">'Single Output'!#REF!</definedName>
    <definedName name="Coss_SR_bg" localSheetId="2">'Vin UVLO Prog. &amp; Startup Delay'!#REF!</definedName>
    <definedName name="Coss_SR_bg">#REF!</definedName>
    <definedName name="COSS_SR_H" localSheetId="0">'Dual Output'!#REF!</definedName>
    <definedName name="COSS_SR_H" localSheetId="1">'Single Output'!#REF!</definedName>
    <definedName name="COSS_SR_H" localSheetId="2">'Vin UVLO Prog. &amp; Startup Delay'!#REF!</definedName>
    <definedName name="COSS_SR_H">#REF!</definedName>
    <definedName name="Coss_SR_sm" localSheetId="0">'Dual Output'!#REF!</definedName>
    <definedName name="Coss_SR_sm" localSheetId="1">'Single Output'!#REF!</definedName>
    <definedName name="Coss_SR_sm" localSheetId="2">'Vin UVLO Prog. &amp; Startup Delay'!#REF!</definedName>
    <definedName name="Coss_SR_sm">#REF!</definedName>
    <definedName name="Coss_SR_T" localSheetId="0">'Dual Output'!#REF!</definedName>
    <definedName name="Coss_SR_T" localSheetId="1">'Single Output'!#REF!</definedName>
    <definedName name="Coss_SR_T" localSheetId="2">'Vin UVLO Prog. &amp; Startup Delay'!#REF!</definedName>
    <definedName name="Coss_SR_T">#REF!</definedName>
    <definedName name="COUT" localSheetId="0">'Dual Output'!#REF!</definedName>
    <definedName name="COUT" localSheetId="1">'Single Output'!#REF!</definedName>
    <definedName name="COUT" localSheetId="2">'Vin UVLO Prog. &amp; Startup Delay'!#REF!</definedName>
    <definedName name="COUT">#REF!</definedName>
    <definedName name="COUT_act" localSheetId="0">'Dual Output'!#REF!</definedName>
    <definedName name="COUT_act" localSheetId="1">'Single Output'!#REF!</definedName>
    <definedName name="COUT_act" localSheetId="2">'Vin UVLO Prog. &amp; Startup Delay'!#REF!</definedName>
    <definedName name="COUT_act">#REF!</definedName>
    <definedName name="COUT_rec" localSheetId="0">'Dual Output'!#REF!</definedName>
    <definedName name="COUT_rec" localSheetId="1">'Single Output'!#REF!</definedName>
    <definedName name="COUT_rec" localSheetId="2">'Vin UVLO Prog. &amp; Startup Delay'!#REF!</definedName>
    <definedName name="COUT_rec">#REF!</definedName>
    <definedName name="COUT2" localSheetId="0">'Dual Output'!#REF!</definedName>
    <definedName name="COUT2" localSheetId="1">'Single Output'!#REF!</definedName>
    <definedName name="COUT2" localSheetId="2">'Vin UVLO Prog. &amp; Startup Delay'!#REF!</definedName>
    <definedName name="COUT2">#REF!</definedName>
    <definedName name="COUT2_MIN" localSheetId="0">'Dual Output'!#REF!</definedName>
    <definedName name="COUT2_MIN" localSheetId="1">'Single Output'!#REF!</definedName>
    <definedName name="COUT2_MIN" localSheetId="2">'Vin UVLO Prog. &amp; Startup Delay'!#REF!</definedName>
    <definedName name="COUT2_MIN">#REF!</definedName>
    <definedName name="COUT3" localSheetId="0">'Dual Output'!#REF!</definedName>
    <definedName name="COUT3" localSheetId="1">'Single Output'!#REF!</definedName>
    <definedName name="COUT3" localSheetId="2">'Vin UVLO Prog. &amp; Startup Delay'!#REF!</definedName>
    <definedName name="COUT3">#REF!</definedName>
    <definedName name="COUT3_MIN" localSheetId="1">'Single Output'!#REF!</definedName>
    <definedName name="COUT3_MIN" localSheetId="2">'Vin UVLO Prog. &amp; Startup Delay'!#REF!</definedName>
    <definedName name="COUT3_MIN">'Dual Output'!#REF!</definedName>
    <definedName name="CREF">'[1]Main Calculation'!$D$143</definedName>
    <definedName name="CREF_act">'[1]Main Calculation'!$D$142</definedName>
    <definedName name="CREF_rec">'[1]Main Calculation'!$D$141</definedName>
    <definedName name="CSW_T_nor">'[1]Main Calculation'!$D$64</definedName>
    <definedName name="CSWS">'[1]Main Calculation'!$D$129</definedName>
    <definedName name="CSWS_act">'[1]Main Calculation'!$D$128</definedName>
    <definedName name="CSWS_rec">'[1]Main Calculation'!$D$127</definedName>
    <definedName name="CTr">'[1]Main Calculation'!$D$54</definedName>
    <definedName name="CTRmax" localSheetId="0">'Dual Output'!#REF!</definedName>
    <definedName name="CTRmax" localSheetId="1">'Single Output'!#REF!</definedName>
    <definedName name="CTRmax" localSheetId="2">'Vin UVLO Prog. &amp; Startup Delay'!#REF!</definedName>
    <definedName name="CTRmax">#REF!</definedName>
    <definedName name="CTRmin" localSheetId="0">'Dual Output'!#REF!</definedName>
    <definedName name="CTRmin" localSheetId="1">'Single Output'!#REF!</definedName>
    <definedName name="CTRmin" localSheetId="2">'Vin UVLO Prog. &amp; Startup Delay'!#REF!</definedName>
    <definedName name="CTRmin">#REF!</definedName>
    <definedName name="D_max">'[1]Main Calculation'!$D$48</definedName>
    <definedName name="DBUR">'[1]Hide Calculate'!$D$39</definedName>
    <definedName name="DBUR_min">'[1]Hide Calculate'!$D$51</definedName>
    <definedName name="dCOUT2" localSheetId="0">'Dual Output'!#REF!</definedName>
    <definedName name="dCOUT2" localSheetId="1">'Single Output'!#REF!</definedName>
    <definedName name="dCOUT2" localSheetId="2">'Vin UVLO Prog. &amp; Startup Delay'!#REF!</definedName>
    <definedName name="dCOUT2">#REF!</definedName>
    <definedName name="dCOUT2_NEG" localSheetId="0">'Dual Output'!#REF!</definedName>
    <definedName name="dCOUT2_NEG" localSheetId="1">'Single Output'!#REF!</definedName>
    <definedName name="dCOUT2_NEG" localSheetId="2">'Vin UVLO Prog. &amp; Startup Delay'!#REF!</definedName>
    <definedName name="dCOUT2_NEG">#REF!</definedName>
    <definedName name="dCOUT2_POS" localSheetId="0">'Dual Output'!#REF!</definedName>
    <definedName name="dCOUT2_POS" localSheetId="1">'Single Output'!#REF!</definedName>
    <definedName name="dCOUT2_POS" localSheetId="2">'Vin UVLO Prog. &amp; Startup Delay'!#REF!</definedName>
    <definedName name="dCOUT2_POS">#REF!</definedName>
    <definedName name="dCOUT3" localSheetId="0">'Dual Output'!#REF!</definedName>
    <definedName name="dCOUT3" localSheetId="1">'Single Output'!#REF!</definedName>
    <definedName name="dCOUT3" localSheetId="2">'Vin UVLO Prog. &amp; Startup Delay'!#REF!</definedName>
    <definedName name="dCOUT3">#REF!</definedName>
    <definedName name="dCOUT3_NEG" localSheetId="0">'Dual Output'!#REF!</definedName>
    <definedName name="dCOUT3_NEG" localSheetId="1">'Single Output'!#REF!</definedName>
    <definedName name="dCOUT3_NEG" localSheetId="2">'Vin UVLO Prog. &amp; Startup Delay'!#REF!</definedName>
    <definedName name="dCOUT3_NEG">#REF!</definedName>
    <definedName name="dCOUT3_POS" localSheetId="0">'Dual Output'!#REF!</definedName>
    <definedName name="dCOUT3_POS" localSheetId="1">'Single Output'!#REF!</definedName>
    <definedName name="dCOUT3_POS" localSheetId="2">'Vin UVLO Prog. &amp; Startup Delay'!#REF!</definedName>
    <definedName name="dCOUT3_POS">#REF!</definedName>
    <definedName name="Differential_voltage_between_VDD_and_VEE__VDD___VEE">"VDD-VEE"</definedName>
    <definedName name="Dmin">'[1]Hide Calculate'!$D$67</definedName>
    <definedName name="DOPP_max">'[1]Hide Calculate'!$D$28</definedName>
    <definedName name="DOPP_min">'[1]Hide Calculate'!$D$19</definedName>
    <definedName name="DOPP_run">'[1]Hide Calculate'!$D$12</definedName>
    <definedName name="DOPP_start">'[1]Hide Calculate'!$D$59</definedName>
    <definedName name="Drea_CDD1">'[1]Main Calculation'!$D$161</definedName>
    <definedName name="Drea_clamp">'[1]Main Calculation'!$D$67</definedName>
    <definedName name="fBUR_LR">'[1]Main Calculation'!$D$28</definedName>
    <definedName name="fBUR_standyby" localSheetId="0">'Dual Output'!#REF!</definedName>
    <definedName name="fBUR_standyby" localSheetId="1">'Single Output'!#REF!</definedName>
    <definedName name="fBUR_standyby" localSheetId="2">'Vin UVLO Prog. &amp; Startup Delay'!#REF!</definedName>
    <definedName name="fBUR_standyby">#REF!</definedName>
    <definedName name="fBUR_UP">'[1]Main Calculation'!$D$29</definedName>
    <definedName name="Fcr_min" localSheetId="0">'Dual Output'!#REF!</definedName>
    <definedName name="Fcr_min" localSheetId="1">'Single Output'!#REF!</definedName>
    <definedName name="Fcr_min" localSheetId="2">'Vin UVLO Prog. &amp; Startup Delay'!#REF!</definedName>
    <definedName name="Fcr_min">#REF!</definedName>
    <definedName name="fLINE_min" localSheetId="0">'Dual Output'!#REF!</definedName>
    <definedName name="fLINE_min" localSheetId="1">'Single Output'!#REF!</definedName>
    <definedName name="fLINE_min" localSheetId="2">'Vin UVLO Prog. &amp; Startup Delay'!#REF!</definedName>
    <definedName name="fLINE_min">#REF!</definedName>
    <definedName name="fp_opto" localSheetId="0">'Dual Output'!#REF!</definedName>
    <definedName name="fp_opto" localSheetId="1">'Single Output'!#REF!</definedName>
    <definedName name="fp_opto" localSheetId="2">'Vin UVLO Prog. &amp; Startup Delay'!#REF!</definedName>
    <definedName name="fp_opto">#REF!</definedName>
    <definedName name="fsw" localSheetId="0">'Dual Output'!$C$16</definedName>
    <definedName name="fsw" localSheetId="1">'Single Output'!$C$15</definedName>
    <definedName name="fsw" localSheetId="2">'Vin UVLO Prog. &amp; Startup Delay'!#REF!</definedName>
    <definedName name="fsw">#REF!</definedName>
    <definedName name="fsw_BUR">'[1]Hide Calculate'!$D$38</definedName>
    <definedName name="fsw_BUR_min">'[1]Hide Calculate'!$D$50</definedName>
    <definedName name="fsw_min">'[1]Hide Calculate'!$D$65</definedName>
    <definedName name="fsw_OPP_max">'[1]Hide Calculate'!$D$27</definedName>
    <definedName name="fsw_OPP_min">'[1]Hide Calculate'!$D$17</definedName>
    <definedName name="fsw_OPP_run">'[1]Hide Calculate'!$D$9</definedName>
    <definedName name="fsw_OPP_start">'[1]Hide Calculate'!$D$57</definedName>
    <definedName name="fSWmin" localSheetId="0">'Dual Output'!#REF!</definedName>
    <definedName name="fSWmin" localSheetId="1">'Single Output'!#REF!</definedName>
    <definedName name="fSWmin" localSheetId="2">'Vin UVLO Prog. &amp; Startup Delay'!#REF!</definedName>
    <definedName name="fSWmin">#REF!</definedName>
    <definedName name="I_COM_VEE" localSheetId="1">'Single Output'!#REF!</definedName>
    <definedName name="I_COM_VEE" localSheetId="2">'Vin UVLO Prog. &amp; Startup Delay'!#REF!</definedName>
    <definedName name="I_COM_VEE">'Dual Output'!#REF!</definedName>
    <definedName name="I_MAX_POWER" localSheetId="1">'Single Output'!#REF!</definedName>
    <definedName name="I_MAX_POWER" localSheetId="2">'Vin UVLO Prog. &amp; Startup Delay'!#REF!</definedName>
    <definedName name="I_MAX_POWER">'Dual Output'!#REF!</definedName>
    <definedName name="I_STEP" localSheetId="1">#REF!</definedName>
    <definedName name="I_STEP" localSheetId="2">#REF!</definedName>
    <definedName name="I_STEP">#REF!</definedName>
    <definedName name="I_TOTAL_VDDS" localSheetId="1">#REF!</definedName>
    <definedName name="I_TOTAL_VDDS" localSheetId="2">#REF!</definedName>
    <definedName name="I_TOTAL_VDDS">#REF!</definedName>
    <definedName name="I_VDD_COM" localSheetId="1">'Single Output'!$C$18</definedName>
    <definedName name="I_VDD_COM" localSheetId="2">'Vin UVLO Prog. &amp; Startup Delay'!#REF!</definedName>
    <definedName name="I_VDD_COM">'Dual Output'!$C$20</definedName>
    <definedName name="ID_SR_max" localSheetId="0">'Dual Output'!#REF!</definedName>
    <definedName name="ID_SR_max" localSheetId="1">'Single Output'!#REF!</definedName>
    <definedName name="ID_SR_max" localSheetId="2">'Vin UVLO Prog. &amp; Startup Delay'!#REF!</definedName>
    <definedName name="ID_SR_max">#REF!</definedName>
    <definedName name="IDaux_max" localSheetId="0">'Dual Output'!#REF!</definedName>
    <definedName name="IDaux_max" localSheetId="1">'Single Output'!#REF!</definedName>
    <definedName name="IDaux_max" localSheetId="2">'Vin UVLO Prog. &amp; Startup Delay'!#REF!</definedName>
    <definedName name="IDaux_max">#REF!</definedName>
    <definedName name="IEN_VDD">'[1]Main Calculation'!$D$23</definedName>
    <definedName name="IFB_max">'[1]Main Calculation'!$D$26</definedName>
    <definedName name="IIN_BUR">'[1]Hide Calculate'!$D$40</definedName>
    <definedName name="IIN_BUR_min">'[1]Hide Calculate'!$D$52</definedName>
    <definedName name="IIN_min">'[1]Hide Calculate'!$D$66</definedName>
    <definedName name="IIN_OPP_max">'[1]Hide Calculate'!$D$29</definedName>
    <definedName name="IIN_OPP_min">'[1]Hide Calculate'!$D$18</definedName>
    <definedName name="IIN_OPP_run">'[1]Hide Calculate'!$D$10</definedName>
    <definedName name="IIN_OPP_start">'[1]Hide Calculate'!$D$58</definedName>
    <definedName name="IKA_min" localSheetId="0">'Dual Output'!#REF!</definedName>
    <definedName name="IKA_min" localSheetId="1">'Single Output'!#REF!</definedName>
    <definedName name="IKA_min" localSheetId="2">'Vin UVLO Prog. &amp; Startup Delay'!#REF!</definedName>
    <definedName name="IKA_min">#REF!</definedName>
    <definedName name="ILIM_DN" localSheetId="0">'Dual Output'!#REF!</definedName>
    <definedName name="ILIM_DN" localSheetId="1">'Single Output'!#REF!</definedName>
    <definedName name="ILIM_DN" localSheetId="2">'Vin UVLO Prog. &amp; Startup Delay'!#REF!</definedName>
    <definedName name="ILIM_DN">#REF!</definedName>
    <definedName name="ILIM_MAX" localSheetId="0">'Dual Output'!#REF!</definedName>
    <definedName name="ILIM_MAX" localSheetId="1">'Single Output'!#REF!</definedName>
    <definedName name="ILIM_MAX" localSheetId="2">'Vin UVLO Prog. &amp; Startup Delay'!#REF!</definedName>
    <definedName name="ILIM_MAX">#REF!</definedName>
    <definedName name="ILIM_UP" localSheetId="0">'Dual Output'!#REF!</definedName>
    <definedName name="ILIM_UP" localSheetId="1">'Single Output'!#REF!</definedName>
    <definedName name="ILIM_UP" localSheetId="2">'Vin UVLO Prog. &amp; Startup Delay'!#REF!</definedName>
    <definedName name="ILIM_UP">#REF!</definedName>
    <definedName name="ILIM_UP_TOT" localSheetId="0">'Dual Output'!#REF!</definedName>
    <definedName name="ILIM_UP_TOT" localSheetId="1">'Single Output'!#REF!</definedName>
    <definedName name="ILIM_UP_TOT" localSheetId="2">'Vin UVLO Prog. &amp; Startup Delay'!#REF!</definedName>
    <definedName name="ILIM_UP_TOT">#REF!</definedName>
    <definedName name="IM_nega_BUR">'[1]Hide Calculate'!$D$37</definedName>
    <definedName name="IM_nega_BUR_min">'[1]Hide Calculate'!$D$49</definedName>
    <definedName name="IM_nega_max">'[1]Hide Calculate'!$D$26</definedName>
    <definedName name="IM_nega_min">'[1]Hide Calculate'!$D$64</definedName>
    <definedName name="IM_nega_OPP_min">'[1]Hide Calculate'!$D$16</definedName>
    <definedName name="IM_nega_run">'[1]Hide Calculate'!$D$11</definedName>
    <definedName name="IM_nega_start">'[1]Hide Calculate'!$D$56</definedName>
    <definedName name="IOUT" localSheetId="0">'Dual Output'!#REF!</definedName>
    <definedName name="IOUT" localSheetId="1">'Single Output'!#REF!</definedName>
    <definedName name="IOUT" localSheetId="2">'Vin UVLO Prog. &amp; Startup Delay'!#REF!</definedName>
    <definedName name="IOUT">#REF!</definedName>
    <definedName name="ipk_BUR">'[1]Hide Calculate'!$D$36</definedName>
    <definedName name="ipk_BUR_min">'[1]Hide Calculate'!$D$48</definedName>
    <definedName name="ipk_min">'[1]Hide Calculate'!$D$63</definedName>
    <definedName name="ipk_OPP_max">'[1]Hide Calculate'!$D$25</definedName>
    <definedName name="ipk_OPP_min">'[1]Hide Calculate'!$D$15</definedName>
    <definedName name="IQ" localSheetId="1">#REF!</definedName>
    <definedName name="IQ" localSheetId="2">#REF!</definedName>
    <definedName name="IQ">#REF!</definedName>
    <definedName name="IQ_DRIVER" localSheetId="1">#REF!</definedName>
    <definedName name="IQ_DRIVER" localSheetId="2">#REF!</definedName>
    <definedName name="IQ_DRIVER">#REF!</definedName>
    <definedName name="IQ_DRIVER_VDD" localSheetId="0">'Dual Output'!$C$17</definedName>
    <definedName name="IQ_DRIVER_VDD" localSheetId="1">'Single Output'!$C$16</definedName>
    <definedName name="IQ_DRIVER_VDD" localSheetId="2">'Vin UVLO Prog. &amp; Startup Delay'!#REF!</definedName>
    <definedName name="IQ_DRIVER_VDD">#REF!</definedName>
    <definedName name="IQ_DRIVER_VDDS" localSheetId="1">#REF!</definedName>
    <definedName name="IQ_DRIVER_VDDS" localSheetId="2">#REF!</definedName>
    <definedName name="IQ_DRIVER_VDDS">#REF!</definedName>
    <definedName name="IQ_DRIVER_VEE" localSheetId="0">'Dual Output'!#REF!</definedName>
    <definedName name="IQ_DRIVER_VEE" localSheetId="1">'Single Output'!#REF!</definedName>
    <definedName name="IQ_DRIVER_VEE" localSheetId="2">'Vin UVLO Prog. &amp; Startup Delay'!#REF!</definedName>
    <definedName name="IQ_DRIVER_VEE">#REF!</definedName>
    <definedName name="IQ_OTHER_VDD" localSheetId="1">'Single Output'!$C$17</definedName>
    <definedName name="IQ_OTHER_VDD" localSheetId="2">'Vin UVLO Prog. &amp; Startup Delay'!#REF!</definedName>
    <definedName name="IQ_OTHER_VDD">'Dual Output'!$C$18</definedName>
    <definedName name="IQ_OTHER_VDDS" localSheetId="1">#REF!</definedName>
    <definedName name="IQ_OTHER_VDDS" localSheetId="2">#REF!</definedName>
    <definedName name="IQ_OTHER_VDDS">#REF!</definedName>
    <definedName name="IQ_OTHER_VEE" localSheetId="1">'Single Output'!#REF!</definedName>
    <definedName name="IQ_OTHER_VEE" localSheetId="2">'Vin UVLO Prog. &amp; Startup Delay'!#REF!</definedName>
    <definedName name="IQ_OTHER_VEE">'Dual Output'!#REF!</definedName>
    <definedName name="IQ_VDD" localSheetId="1">'Single Output'!$C$18</definedName>
    <definedName name="IQ_VDD" localSheetId="2">'Vin UVLO Prog. &amp; Startup Delay'!#REF!</definedName>
    <definedName name="IQ_VDD">'Dual Output'!$C$20</definedName>
    <definedName name="IQ_VDD_COM" localSheetId="1">'Single Output'!$C$18</definedName>
    <definedName name="IQ_VDD_COM" localSheetId="2">'Vin UVLO Prog. &amp; Startup Delay'!#REF!</definedName>
    <definedName name="IQ_VDD_COM">'Dual Output'!$C$20</definedName>
    <definedName name="IQ_VEE" localSheetId="1">'Single Output'!#REF!</definedName>
    <definedName name="IQ_VEE" localSheetId="2">'Vin UVLO Prog. &amp; Startup Delay'!#REF!</definedName>
    <definedName name="IQ_VEE">'Dual Output'!$C$19</definedName>
    <definedName name="IQH_max" localSheetId="0">'Dual Output'!#REF!</definedName>
    <definedName name="IQH_max" localSheetId="1">'Single Output'!#REF!</definedName>
    <definedName name="IQH_max" localSheetId="2">'Vin UVLO Prog. &amp; Startup Delay'!#REF!</definedName>
    <definedName name="IQH_max">#REF!</definedName>
    <definedName name="IQL_max" localSheetId="0">'Dual Output'!#REF!</definedName>
    <definedName name="IQL_max" localSheetId="1">'Single Output'!#REF!</definedName>
    <definedName name="IQL_max" localSheetId="2">'Vin UVLO Prog. &amp; Startup Delay'!#REF!</definedName>
    <definedName name="IQL_max">#REF!</definedName>
    <definedName name="iQL_RMS">'[1]Main Calculation'!$D$88</definedName>
    <definedName name="Iref_431" localSheetId="0">'Dual Output'!#REF!</definedName>
    <definedName name="Iref_431" localSheetId="1">'Single Output'!#REF!</definedName>
    <definedName name="Iref_431" localSheetId="2">'Vin UVLO Prog. &amp; Startup Delay'!#REF!</definedName>
    <definedName name="Iref_431">#REF!</definedName>
    <definedName name="Iref_431_max" localSheetId="0">'Dual Output'!#REF!</definedName>
    <definedName name="Iref_431_max" localSheetId="1">'Single Output'!#REF!</definedName>
    <definedName name="Iref_431_max" localSheetId="2">'Vin UVLO Prog. &amp; Startup Delay'!#REF!</definedName>
    <definedName name="Iref_431_max">#REF!</definedName>
    <definedName name="IRLIM_CAP" localSheetId="0">'Dual Output'!#REF!</definedName>
    <definedName name="IRLIM_CAP" localSheetId="1">'Single Output'!#REF!</definedName>
    <definedName name="IRLIM_CAP" localSheetId="2">'Vin UVLO Prog. &amp; Startup Delay'!#REF!</definedName>
    <definedName name="IRLIM_CAP">#REF!</definedName>
    <definedName name="IRUN_VDD">'[1]Main Calculation'!$D$19</definedName>
    <definedName name="Istart_HVG">'[1]Main Calculation'!$D$22</definedName>
    <definedName name="IVCC_qcc" localSheetId="0">'Dual Output'!#REF!</definedName>
    <definedName name="IVCC_qcc" localSheetId="1">'Single Output'!#REF!</definedName>
    <definedName name="IVCC_qcc" localSheetId="2">'Vin UVLO Prog. &amp; Startup Delay'!#REF!</definedName>
    <definedName name="IVCC_qcc">#REF!</definedName>
    <definedName name="IVCC_sw">'[1]Hide Calculate'!$D$60</definedName>
    <definedName name="iVSL_BUR">'[1]Hide Calculate'!$D$41</definedName>
    <definedName name="iVSL_max">'[1]Hide Calculate'!$D$31</definedName>
    <definedName name="IVSL_run">'[1]Main Calculation'!$D$7</definedName>
    <definedName name="Iwait_VDD">'[1]Main Calculation'!$D$20</definedName>
    <definedName name="KBUR_CST">'[1]Main Calculation'!$D$17</definedName>
    <definedName name="KCTR_Temp" localSheetId="0">'Dual Output'!#REF!</definedName>
    <definedName name="KCTR_Temp" localSheetId="1">'Single Output'!#REF!</definedName>
    <definedName name="KCTR_Temp" localSheetId="2">'Vin UVLO Prog. &amp; Startup Delay'!#REF!</definedName>
    <definedName name="KCTR_Temp">#REF!</definedName>
    <definedName name="Kder" localSheetId="0">'Dual Output'!#REF!</definedName>
    <definedName name="Kder" localSheetId="1">'Single Output'!#REF!</definedName>
    <definedName name="Kder" localSheetId="2">'Vin UVLO Prog. &amp; Startup Delay'!#REF!</definedName>
    <definedName name="Kder">#REF!</definedName>
    <definedName name="Kder_SR" localSheetId="0">'Dual Output'!#REF!</definedName>
    <definedName name="Kder_SR" localSheetId="1">'Single Output'!#REF!</definedName>
    <definedName name="Kder_SR" localSheetId="2">'Vin UVLO Prog. &amp; Startup Delay'!#REF!</definedName>
    <definedName name="Kder_SR">#REF!</definedName>
    <definedName name="KDM">'[1]Main Calculation'!$D$16</definedName>
    <definedName name="KLC">'[1]Main Calculation'!$D$15</definedName>
    <definedName name="KRES">'[1]Main Calculation'!$D$32</definedName>
    <definedName name="KTZ" localSheetId="0">'Dual Output'!#REF!</definedName>
    <definedName name="KTZ" localSheetId="1">'Single Output'!#REF!</definedName>
    <definedName name="KTZ" localSheetId="2">'Vin UVLO Prog. &amp; Startup Delay'!#REF!</definedName>
    <definedName name="KTZ">#REF!</definedName>
    <definedName name="KVC">'[1]Hide Calculate'!$D$68</definedName>
    <definedName name="kZmax" localSheetId="0">'[1]Hide Calculate'!#REF!</definedName>
    <definedName name="kZmax" localSheetId="1">'[1]Hide Calculate'!#REF!</definedName>
    <definedName name="kZmax" localSheetId="2">'[1]Hide Calculate'!#REF!</definedName>
    <definedName name="kZmax">'[1]Hide Calculate'!#REF!</definedName>
    <definedName name="LK_actual">'[1]Main Calculation'!$D$52</definedName>
    <definedName name="LM">'[1]Main Calculation'!$D$51</definedName>
    <definedName name="LM_actual">'[1]Main Calculation'!$D$50</definedName>
    <definedName name="LM_recommended">'[1]Main Calculation'!$D$49</definedName>
    <definedName name="Lo">'[1]Secondary Resonance'!$E$28</definedName>
    <definedName name="LQs" localSheetId="0">'Dual Output'!#REF!</definedName>
    <definedName name="LQs" localSheetId="1">'Single Output'!#REF!</definedName>
    <definedName name="LQs" localSheetId="2">'Vin UVLO Prog. &amp; Startup Delay'!#REF!</definedName>
    <definedName name="LQs">#REF!</definedName>
    <definedName name="NA">'[1]Main Calculation'!$D$46</definedName>
    <definedName name="NA_act" localSheetId="0">'[1]Main Calculation'!#REF!</definedName>
    <definedName name="NA_act" localSheetId="1">'[1]Main Calculation'!#REF!</definedName>
    <definedName name="NA_act" localSheetId="2">'[1]Main Calculation'!#REF!</definedName>
    <definedName name="NA_act">'[1]Main Calculation'!#REF!</definedName>
    <definedName name="Na1_">'[1]Burst Mode for USB-PD'!$B$5</definedName>
    <definedName name="Na2_">'[1]Burst Mode for USB-PD'!$B$6</definedName>
    <definedName name="NP">'[1]Main Calculation'!$D$41</definedName>
    <definedName name="NPS">'[1]Main Calculation'!$D$40</definedName>
    <definedName name="NPS_actual" localSheetId="0">'[1]Main Calculation'!#REF!</definedName>
    <definedName name="NPS_actual" localSheetId="1">'[1]Main Calculation'!#REF!</definedName>
    <definedName name="NPS_actual" localSheetId="2">'[1]Main Calculation'!#REF!</definedName>
    <definedName name="NPS_actual">'[1]Main Calculation'!#REF!</definedName>
    <definedName name="NPS_recommended" localSheetId="0">'[1]Main Calculation'!#REF!</definedName>
    <definedName name="NPS_recommended" localSheetId="1">'[1]Main Calculation'!#REF!</definedName>
    <definedName name="NPS_recommended" localSheetId="2">'[1]Main Calculation'!#REF!</definedName>
    <definedName name="NPS_recommended">'[1]Main Calculation'!#REF!</definedName>
    <definedName name="NS">'[1]Main Calculation'!$D$42</definedName>
    <definedName name="NS_">'[1]Burst Mode for USB-PD'!$B$7</definedName>
    <definedName name="NSS">'[1]Main Calculation'!$D$43</definedName>
    <definedName name="OPP" localSheetId="0">'Dual Output'!#REF!</definedName>
    <definedName name="OPP" localSheetId="1">'Single Output'!#REF!</definedName>
    <definedName name="OPP" localSheetId="2">'Vin UVLO Prog. &amp; Startup Delay'!#REF!</definedName>
    <definedName name="OPP">#REF!</definedName>
    <definedName name="OVP" localSheetId="0">'Dual Output'!#REF!</definedName>
    <definedName name="OVP" localSheetId="1">'Single Output'!#REF!</definedName>
    <definedName name="OVP" localSheetId="2">'Vin UVLO Prog. &amp; Startup Delay'!#REF!</definedName>
    <definedName name="OVP">#REF!</definedName>
    <definedName name="P_MAX" localSheetId="1">'Single Output'!#REF!</definedName>
    <definedName name="P_MAX" localSheetId="2">'Vin UVLO Prog. &amp; Startup Delay'!#REF!</definedName>
    <definedName name="P_MAX">'Dual Output'!#REF!</definedName>
    <definedName name="PERCENT_VPP_MAX" localSheetId="1">'Single Output'!$C$20</definedName>
    <definedName name="PERCENT_VPP_MAX" localSheetId="2">'Vin UVLO Prog. &amp; Startup Delay'!#REF!</definedName>
    <definedName name="PERCENT_VPP_MAX">'Dual Output'!$C$22</definedName>
    <definedName name="PERCENT_VPP_MAX_VDD" localSheetId="1">'Single Output'!$C$20</definedName>
    <definedName name="PERCENT_VPP_MAX_VDD" localSheetId="2">'Vin UVLO Prog. &amp; Startup Delay'!#REF!</definedName>
    <definedName name="PERCENT_VPP_MAX_VDD">'Dual Output'!$C$22</definedName>
    <definedName name="PERCENT_VPP_MAX_VEE" localSheetId="1">'Single Output'!#REF!</definedName>
    <definedName name="PERCENT_VPP_MAX_VEE" localSheetId="2">'Vin UVLO Prog. &amp; Startup Delay'!#REF!</definedName>
    <definedName name="PERCENT_VPP_MAX_VEE">'Dual Output'!$C$23</definedName>
    <definedName name="Po" localSheetId="0">'Dual Output'!$C$42</definedName>
    <definedName name="Po" localSheetId="1">'Single Output'!$C$23</definedName>
    <definedName name="Po" localSheetId="2">'Vin UVLO Prog. &amp; Startup Delay'!#REF!</definedName>
    <definedName name="Po">#REF!</definedName>
    <definedName name="PO_FL" localSheetId="0">'Dual Output'!#REF!</definedName>
    <definedName name="PO_FL" localSheetId="1">'Single Output'!#REF!</definedName>
    <definedName name="PO_FL" localSheetId="2">'Vin UVLO Prog. &amp; Startup Delay'!#REF!</definedName>
    <definedName name="PO_FL">#REF!</definedName>
    <definedName name="PRcs">'[1]Main Calculation'!$D$89</definedName>
    <definedName name="PRLIM" localSheetId="0">'Dual Output'!#REF!</definedName>
    <definedName name="PRLIM" localSheetId="1">'Single Output'!#REF!</definedName>
    <definedName name="PRLIM" localSheetId="2">'Vin UVLO Prog. &amp; Startup Delay'!#REF!</definedName>
    <definedName name="PRLIM">#REF!</definedName>
    <definedName name="Qg_Qh">'[1]Hide Calculate'!$D$47</definedName>
    <definedName name="Qgtot" localSheetId="0">'Dual Output'!$C$15</definedName>
    <definedName name="Qgtot" localSheetId="1">'Single Output'!$C$14</definedName>
    <definedName name="Qgtot" localSheetId="2">'Vin UVLO Prog. &amp; Startup Delay'!#REF!</definedName>
    <definedName name="Qgtot">#REF!</definedName>
    <definedName name="R_2" localSheetId="0">'Dual Output'!$C$21</definedName>
    <definedName name="R_2" localSheetId="1">'Single Output'!$C$19</definedName>
    <definedName name="R_2" localSheetId="2">'Vin UVLO Prog. &amp; Startup Delay'!#REF!</definedName>
    <definedName name="R_2">#REF!</definedName>
    <definedName name="R_4" localSheetId="0">'Dual Output'!#REF!</definedName>
    <definedName name="R_4" localSheetId="1">'Single Output'!#REF!</definedName>
    <definedName name="R_4" localSheetId="2">'Vin UVLO Prog. &amp; Startup Delay'!#REF!</definedName>
    <definedName name="R_4">#REF!</definedName>
    <definedName name="R_OPP">'[1]Main Calculation'!$D$94</definedName>
    <definedName name="Rbias1">'[1]Main Calculation'!$D$179</definedName>
    <definedName name="Rbias1_max_ABM">'[1]Main Calculation'!$D$176</definedName>
    <definedName name="Rbias1_max_SBP">'[1]Main Calculation'!$D$175</definedName>
    <definedName name="Rbias2">'[1]Main Calculation'!$D$174</definedName>
    <definedName name="Rbias2_act">'[1]Main Calculation'!$D$173</definedName>
    <definedName name="Rbias2_rec">'[1]Main Calculation'!$D$172</definedName>
    <definedName name="RBLEED">'[1]Main Calculation'!$D$73</definedName>
    <definedName name="RBLEED_act">'[1]Main Calculation'!$D$72</definedName>
    <definedName name="RBLEED_rec" localSheetId="0">'[1]Main Calculation'!#REF!</definedName>
    <definedName name="RBLEED_rec" localSheetId="1">'[1]Main Calculation'!#REF!</definedName>
    <definedName name="RBLEED_rec" localSheetId="2">'[1]Main Calculation'!#REF!</definedName>
    <definedName name="RBLEED_rec">'[1]Main Calculation'!#REF!</definedName>
    <definedName name="RBLEED_recc">'[1]Main Calculation'!$D$71</definedName>
    <definedName name="RBUR1">'[1]Main Calculation'!$D$118</definedName>
    <definedName name="RBUR1_act">'[1]Main Calculation'!$D$117</definedName>
    <definedName name="RBUR1_rec">'[1]Main Calculation'!$D$116</definedName>
    <definedName name="RBUR2">'[1]Main Calculation'!$D$115</definedName>
    <definedName name="RBUR2_act">'[1]Main Calculation'!$D$114</definedName>
    <definedName name="RBUR2_rec">'[1]Main Calculation'!$D$113</definedName>
    <definedName name="RCO" localSheetId="0">'Dual Output'!#REF!</definedName>
    <definedName name="RCO" localSheetId="1">'Single Output'!#REF!</definedName>
    <definedName name="RCO" localSheetId="2">'Vin UVLO Prog. &amp; Startup Delay'!#REF!</definedName>
    <definedName name="RCO">#REF!</definedName>
    <definedName name="RCOMP">'[1]Main Calculation'!$D$171</definedName>
    <definedName name="RCS">'[1]Main Calculation'!$D$87</definedName>
    <definedName name="RCS_act">'[1]Main Calculation'!$D$86</definedName>
    <definedName name="RCS_rec">'[1]Main Calculation'!$D$85</definedName>
    <definedName name="RDD_1">'[1]Main Calculation'!$D$158</definedName>
    <definedName name="RDD1_act">'[1]Main Calculation'!$D$157</definedName>
    <definedName name="RDD1_rec">'[1]Main Calculation'!$D$156</definedName>
    <definedName name="RDD2_">'[1]Main Calculation'!$D$152</definedName>
    <definedName name="Rdiff">'[1]Main Calculation'!$D$198</definedName>
    <definedName name="Rdiff_act">'[1]Main Calculation'!$D$197</definedName>
    <definedName name="Rdiff_rec">'[1]Main Calculation'!$D$196</definedName>
    <definedName name="RDM">'[1]Main Calculation'!$D$103</definedName>
    <definedName name="RDM_act">'[1]Main Calculation'!$D$102</definedName>
    <definedName name="RDM_rec">'[1]Main Calculation'!$D$101</definedName>
    <definedName name="RDSon_QH" localSheetId="0">'Dual Output'!#REF!</definedName>
    <definedName name="RDSon_QH" localSheetId="1">'Single Output'!#REF!</definedName>
    <definedName name="RDSon_QH" localSheetId="2">'Vin UVLO Prog. &amp; Startup Delay'!#REF!</definedName>
    <definedName name="RDSon_QH">#REF!</definedName>
    <definedName name="RDSon_QL" localSheetId="0">'Dual Output'!#REF!</definedName>
    <definedName name="RDSon_QL" localSheetId="1">'Single Output'!#REF!</definedName>
    <definedName name="RDSon_QL" localSheetId="2">'Vin UVLO Prog. &amp; Startup Delay'!#REF!</definedName>
    <definedName name="RDSon_QL">#REF!</definedName>
    <definedName name="RFB">'[1]Main Calculation'!$D$169</definedName>
    <definedName name="RFB_act">'[1]Main Calculation'!$D$168</definedName>
    <definedName name="RFB_int">'[1]Main Calculation'!$D$25</definedName>
    <definedName name="RFB_max">'[1]Main Calculation'!$D$167</definedName>
    <definedName name="RHVG">'[1]Main Calculation'!$D$137</definedName>
    <definedName name="RHVG_act">'[1]Main Calculation'!$D$136</definedName>
    <definedName name="RHVG_rec">'[1]Main Calculation'!$D$135</definedName>
    <definedName name="RLIM" localSheetId="0">'Dual Output'!#REF!</definedName>
    <definedName name="RLIM" localSheetId="1">'Single Output'!#REF!</definedName>
    <definedName name="RLIM" localSheetId="2">'Vin UVLO Prog. &amp; Startup Delay'!#REF!</definedName>
    <definedName name="RLIM">#REF!</definedName>
    <definedName name="RLIM_DN" localSheetId="0">'Dual Output'!#REF!</definedName>
    <definedName name="RLIM_DN" localSheetId="1">'Single Output'!#REF!</definedName>
    <definedName name="RLIM_DN" localSheetId="2">'Vin UVLO Prog. &amp; Startup Delay'!#REF!</definedName>
    <definedName name="RLIM_DN">#REF!</definedName>
    <definedName name="RLIM_MAX" localSheetId="0">'Dual Output'!#REF!</definedName>
    <definedName name="RLIM_MAX" localSheetId="1">'Single Output'!#REF!</definedName>
    <definedName name="RLIM_MAX" localSheetId="2">'Vin UVLO Prog. &amp; Startup Delay'!#REF!</definedName>
    <definedName name="RLIM_MAX">#REF!</definedName>
    <definedName name="RLIM_UP" localSheetId="0">'Dual Output'!#REF!</definedName>
    <definedName name="RLIM_UP" localSheetId="1">'Single Output'!#REF!</definedName>
    <definedName name="RLIM_UP" localSheetId="2">'Vin UVLO Prog. &amp; Startup Delay'!#REF!</definedName>
    <definedName name="RLIM_UP">#REF!</definedName>
    <definedName name="Rpri_dc">'[1]Main Calculation'!$D$55</definedName>
    <definedName name="RSWS">'[1]Main Calculation'!$D$132</definedName>
    <definedName name="RSWS_act">'[1]Main Calculation'!$D$131</definedName>
    <definedName name="RSWS_rec">'[1]Main Calculation'!$D$130</definedName>
    <definedName name="RTZ">'[1]Main Calculation'!$D$109</definedName>
    <definedName name="RTZ_act">'[1]Main Calculation'!$D$108</definedName>
    <definedName name="RTZ_rec">'[1]Main Calculation'!$D$107</definedName>
    <definedName name="Rvo1_">'[1]Main Calculation'!$D$188</definedName>
    <definedName name="Rvo1_act">'[1]Main Calculation'!$D$187</definedName>
    <definedName name="Rvo1_rec">'[1]Main Calculation'!$D$186</definedName>
    <definedName name="Rvo2_">'[1]Main Calculation'!$D$185</definedName>
    <definedName name="Rvo2_act">'[1]Main Calculation'!$D$184</definedName>
    <definedName name="Rvo2_rec">'[1]Main Calculation'!$D$183</definedName>
    <definedName name="RVS_1">'[1]Main Calculation'!$D$78</definedName>
    <definedName name="RVS_2">'[1]Main Calculation'!$D$81</definedName>
    <definedName name="RVS1_act">'[1]Main Calculation'!$D$77</definedName>
    <definedName name="RVS1_rec">'[1]Main Calculation'!$D$76</definedName>
    <definedName name="RVS2_act">'[1]Main Calculation'!$D$80</definedName>
    <definedName name="RVS2_rec">'[1]Main Calculation'!$D$79</definedName>
    <definedName name="SET" localSheetId="0">'Dual Output'!#REF!</definedName>
    <definedName name="SET" localSheetId="1">'Single Output'!#REF!</definedName>
    <definedName name="SET" localSheetId="2">'Vin UVLO Prog. &amp; Startup Delay'!#REF!</definedName>
    <definedName name="SET">#REF!</definedName>
    <definedName name="SETPIN" localSheetId="0">'Dual Output'!#REF!</definedName>
    <definedName name="SETPIN" localSheetId="1">'Single Output'!#REF!</definedName>
    <definedName name="SETPIN" localSheetId="2">'Vin UVLO Prog. &amp; Startup Delay'!#REF!</definedName>
    <definedName name="SETPIN">#REF!</definedName>
    <definedName name="STEP_DUTY" localSheetId="1">#REF!</definedName>
    <definedName name="STEP_DUTY" localSheetId="2">#REF!</definedName>
    <definedName name="STEP_DUTY">#REF!</definedName>
    <definedName name="tD_CS">'[1]Main Calculation'!$D$9</definedName>
    <definedName name="TD_CS_filter">'[1]Main Calculation'!$D$84</definedName>
    <definedName name="tD_CST">'[1]Hide Calculate'!$D$22</definedName>
    <definedName name="TD_HDr" localSheetId="0">'Dual Output'!#REF!</definedName>
    <definedName name="TD_HDr" localSheetId="1">'Single Output'!#REF!</definedName>
    <definedName name="TD_HDr" localSheetId="2">'Vin UVLO Prog. &amp; Startup Delay'!#REF!</definedName>
    <definedName name="TD_HDr">#REF!</definedName>
    <definedName name="TD_LDr" localSheetId="0">'Dual Output'!#REF!</definedName>
    <definedName name="TD_LDr" localSheetId="1">'Single Output'!#REF!</definedName>
    <definedName name="TD_LDr" localSheetId="2">'Vin UVLO Prog. &amp; Startup Delay'!#REF!</definedName>
    <definedName name="TD_LDr">#REF!</definedName>
    <definedName name="tD_RUN_PWML">'[1]Main Calculation'!$D$21</definedName>
    <definedName name="TFDR">'[1]Main Calculation'!$D$30</definedName>
    <definedName name="THVG">'[1]Main Calculation'!$D$159</definedName>
    <definedName name="tres" localSheetId="0">'[1]Hide Calculate'!#REF!</definedName>
    <definedName name="tres" localSheetId="1">'[1]Hide Calculate'!#REF!</definedName>
    <definedName name="tres" localSheetId="2">'[1]Hide Calculate'!#REF!</definedName>
    <definedName name="tres">'[1]Hide Calculate'!#REF!</definedName>
    <definedName name="Trise_max">'[1]Hide Calculate'!$D$44</definedName>
    <definedName name="TSS_max">'[1]Main Calculation'!$D$160</definedName>
    <definedName name="tSW" localSheetId="0">'[1]Hide Calculate'!#REF!</definedName>
    <definedName name="tSW" localSheetId="1">'[1]Hide Calculate'!#REF!</definedName>
    <definedName name="tSW" localSheetId="2">'[1]Hide Calculate'!#REF!</definedName>
    <definedName name="tSW">'[1]Hide Calculate'!#REF!</definedName>
    <definedName name="tSW_off" localSheetId="0">'[1]Hide Calculate'!#REF!</definedName>
    <definedName name="tSW_off" localSheetId="1">'[1]Hide Calculate'!#REF!</definedName>
    <definedName name="tSW_off" localSheetId="2">'[1]Hide Calculate'!#REF!</definedName>
    <definedName name="tSW_off">'[1]Hide Calculate'!#REF!</definedName>
    <definedName name="tSW_on" localSheetId="0">'[1]Hide Calculate'!#REF!</definedName>
    <definedName name="tSW_on" localSheetId="1">'[1]Hide Calculate'!#REF!</definedName>
    <definedName name="tSW_on" localSheetId="2">'[1]Hide Calculate'!#REF!</definedName>
    <definedName name="tSW_on">'[1]Hide Calculate'!#REF!</definedName>
    <definedName name="tSWmax" localSheetId="0">'[1]Hide Calculate'!#REF!</definedName>
    <definedName name="tSWmax" localSheetId="1">'[1]Hide Calculate'!#REF!</definedName>
    <definedName name="tSWmax" localSheetId="2">'[1]Hide Calculate'!#REF!</definedName>
    <definedName name="tSWmax">'[1]Hide Calculate'!#REF!</definedName>
    <definedName name="TZ_min">'[1]Main Calculation'!$D$106</definedName>
    <definedName name="VBULKmin_tgt" localSheetId="0">'Dual Output'!#REF!</definedName>
    <definedName name="VBULKmin_tgt" localSheetId="1">'Single Output'!#REF!</definedName>
    <definedName name="VBULKmin_tgt" localSheetId="2">'Vin UVLO Prog. &amp; Startup Delay'!#REF!</definedName>
    <definedName name="VBULKmin_tgt">#REF!</definedName>
    <definedName name="Vbur1">'[1]Burst Mode for USB-PD'!$E$9</definedName>
    <definedName name="Vbur2">'[1]Burst Mode for USB-PD'!$E$10</definedName>
    <definedName name="VCE_sat_opto" localSheetId="0">'Dual Output'!#REF!</definedName>
    <definedName name="VCE_sat_opto" localSheetId="1">'Single Output'!#REF!</definedName>
    <definedName name="VCE_sat_opto" localSheetId="2">'Vin UVLO Prog. &amp; Startup Delay'!#REF!</definedName>
    <definedName name="VCE_sat_opto">#REF!</definedName>
    <definedName name="Vcin_rated" localSheetId="0">'Dual Output'!#REF!</definedName>
    <definedName name="Vcin_rated" localSheetId="1">'Single Output'!#REF!</definedName>
    <definedName name="Vcin_rated" localSheetId="2">'Vin UVLO Prog. &amp; Startup Delay'!#REF!</definedName>
    <definedName name="Vcin_rated">#REF!</definedName>
    <definedName name="Vclamp_max">'[1]Hide Calculate'!$D$5</definedName>
    <definedName name="Vclamp_max_QH">'[1]Hide Calculate'!$D$4</definedName>
    <definedName name="Vclamp_max_SR">'[1]Hide Calculate'!$D$3</definedName>
    <definedName name="VCST_BUR">'[1]Main Calculation'!$D$112</definedName>
    <definedName name="VCST_max">'[1]Main Calculation'!$D$10</definedName>
    <definedName name="VCST_OPP1">'[1]Main Calculation'!$D$11</definedName>
    <definedName name="VCST_OPP4">'[1]Main Calculation'!$D$12</definedName>
    <definedName name="VD_LED" localSheetId="0">'Dual Output'!#REF!</definedName>
    <definedName name="VD_LED" localSheetId="1">'Single Output'!#REF!</definedName>
    <definedName name="VD_LED" localSheetId="2">'Vin UVLO Prog. &amp; Startup Delay'!#REF!</definedName>
    <definedName name="VD_LED">#REF!</definedName>
    <definedName name="VD_LED_off" localSheetId="0">'Dual Output'!#REF!</definedName>
    <definedName name="VD_LED_off" localSheetId="1">'Single Output'!#REF!</definedName>
    <definedName name="VD_LED_off" localSheetId="2">'Vin UVLO Prog. &amp; Startup Delay'!#REF!</definedName>
    <definedName name="VD_LED_off">#REF!</definedName>
    <definedName name="VDD">'[1]Main Calculation'!$D$155</definedName>
    <definedName name="VDD_COM" localSheetId="1">'Single Output'!$C$13</definedName>
    <definedName name="VDD_COM" localSheetId="2">'Vin UVLO Prog. &amp; Startup Delay'!#REF!</definedName>
    <definedName name="VDD_COM">'Dual Output'!$C$13</definedName>
    <definedName name="VDD_max">'[1]Main Calculation'!$D$5</definedName>
    <definedName name="VDD_off">'[1]Main Calculation'!$D$3</definedName>
    <definedName name="VDD_on">'[1]Main Calculation'!$D$4</definedName>
    <definedName name="VDD_PCT">'[1]Main Calculation'!$D$6</definedName>
    <definedName name="VDD_VEE" localSheetId="0">'Dual Output'!#REF!</definedName>
    <definedName name="VDD_VEE" localSheetId="1">'Single Output'!#REF!</definedName>
    <definedName name="VDD_VEE" localSheetId="2">'Vin UVLO Prog. &amp; Startup Delay'!#REF!</definedName>
    <definedName name="VDD_VEE">#REF!</definedName>
    <definedName name="VDS_actual" localSheetId="0">'Dual Output'!#REF!</definedName>
    <definedName name="VDS_actual" localSheetId="1">'Single Output'!#REF!</definedName>
    <definedName name="VDS_actual" localSheetId="2">'Vin UVLO Prog. &amp; Startup Delay'!#REF!</definedName>
    <definedName name="VDS_actual">#REF!</definedName>
    <definedName name="VDz" localSheetId="0">'Dual Output'!#REF!</definedName>
    <definedName name="VDz" localSheetId="1">'Single Output'!#REF!</definedName>
    <definedName name="VDz" localSheetId="2">'Vin UVLO Prog. &amp; Startup Delay'!#REF!</definedName>
    <definedName name="VDz">#REF!</definedName>
    <definedName name="Vf_BootD" localSheetId="0">'Dual Output'!#REF!</definedName>
    <definedName name="Vf_BootD" localSheetId="1">'Single Output'!#REF!</definedName>
    <definedName name="Vf_BootD" localSheetId="2">'Vin UVLO Prog. &amp; Startup Delay'!#REF!</definedName>
    <definedName name="Vf_BootD">#REF!</definedName>
    <definedName name="Vf_Daux" localSheetId="0">'Dual Output'!#REF!</definedName>
    <definedName name="Vf_Daux" localSheetId="1">'Single Output'!#REF!</definedName>
    <definedName name="Vf_Daux" localSheetId="2">'Vin UVLO Prog. &amp; Startup Delay'!#REF!</definedName>
    <definedName name="Vf_Daux">#REF!</definedName>
    <definedName name="Vf_SR" localSheetId="0">'Dual Output'!#REF!</definedName>
    <definedName name="Vf_SR" localSheetId="1">'Single Output'!#REF!</definedName>
    <definedName name="Vf_SR" localSheetId="2">'Vin UVLO Prog. &amp; Startup Delay'!#REF!</definedName>
    <definedName name="Vf_SR">#REF!</definedName>
    <definedName name="VFB_max">'[1]Main Calculation'!$D$24</definedName>
    <definedName name="Vgs_Qs" localSheetId="0">'Dual Output'!#REF!</definedName>
    <definedName name="Vgs_Qs" localSheetId="1">'Single Output'!#REF!</definedName>
    <definedName name="Vgs_Qs" localSheetId="2">'Vin UVLO Prog. &amp; Startup Delay'!#REF!</definedName>
    <definedName name="Vgs_Qs">#REF!</definedName>
    <definedName name="VHVG">'[1]Main Calculation'!$D$18</definedName>
    <definedName name="Vhys_CS">'[1]Main Calculation'!$D$13</definedName>
    <definedName name="VIN_LOW" localSheetId="0">'Dual Output'!#REF!</definedName>
    <definedName name="VIN_LOW" localSheetId="1">'Single Output'!#REF!</definedName>
    <definedName name="VIN_LOW" localSheetId="2">'Vin UVLO Prog. &amp; Startup Delay'!#REF!</definedName>
    <definedName name="VIN_LOW">#REF!</definedName>
    <definedName name="Vin_type" localSheetId="0">'Dual Output'!#REF!</definedName>
    <definedName name="Vin_type" localSheetId="1">'Single Output'!#REF!</definedName>
    <definedName name="Vin_type" localSheetId="2">'Vin UVLO Prog. &amp; Startup Delay'!#REF!</definedName>
    <definedName name="Vin_type">#REF!</definedName>
    <definedName name="VINPUT_Brownin" localSheetId="0">'Dual Output'!#REF!</definedName>
    <definedName name="VINPUT_Brownin" localSheetId="1">'Single Output'!#REF!</definedName>
    <definedName name="VINPUT_Brownin" localSheetId="2">'Vin UVLO Prog. &amp; Startup Delay'!#REF!</definedName>
    <definedName name="VINPUT_Brownin">#REF!</definedName>
    <definedName name="VINPUT_Brownout" localSheetId="0">'Dual Output'!#REF!</definedName>
    <definedName name="VINPUT_Brownout" localSheetId="1">'Single Output'!#REF!</definedName>
    <definedName name="VINPUT_Brownout" localSheetId="2">'Vin UVLO Prog. &amp; Startup Delay'!#REF!</definedName>
    <definedName name="VINPUT_Brownout">#REF!</definedName>
    <definedName name="VINPUT_BUR" localSheetId="0">'Dual Output'!#REF!</definedName>
    <definedName name="VINPUT_BUR" localSheetId="1">'Single Output'!#REF!</definedName>
    <definedName name="VINPUT_BUR" localSheetId="2">'Vin UVLO Prog. &amp; Startup Delay'!#REF!</definedName>
    <definedName name="VINPUT_BUR">#REF!</definedName>
    <definedName name="VINPUT_max" localSheetId="0">'Dual Output'!#REF!</definedName>
    <definedName name="VINPUT_max" localSheetId="1">'Single Output'!#REF!</definedName>
    <definedName name="VINPUT_max" localSheetId="2">'Vin UVLO Prog. &amp; Startup Delay'!#REF!</definedName>
    <definedName name="VINPUT_max">#REF!</definedName>
    <definedName name="VINPUT_nom" localSheetId="0">'Dual Output'!#REF!</definedName>
    <definedName name="VINPUT_nom" localSheetId="1">'Single Output'!#REF!</definedName>
    <definedName name="VINPUT_nom" localSheetId="2">'Vin UVLO Prog. &amp; Startup Delay'!#REF!</definedName>
    <definedName name="VINPUT_nom">#REF!</definedName>
    <definedName name="VLk_pri_max">'[1]Hide Calculate'!$D$33</definedName>
    <definedName name="Vo_drop" localSheetId="0">'Dual Output'!#REF!</definedName>
    <definedName name="Vo_drop" localSheetId="1">'Single Output'!#REF!</definedName>
    <definedName name="Vo_drop" localSheetId="2">'Vin UVLO Prog. &amp; Startup Delay'!#REF!</definedName>
    <definedName name="Vo_drop">#REF!</definedName>
    <definedName name="Voffset_CS_OPP">'[1]Hide Calculate'!$D$30</definedName>
    <definedName name="Vomax">'[1]Burst Mode for USB-PD'!$B$9</definedName>
    <definedName name="Vomin">'[1]Burst Mode for USB-PD'!$B$10</definedName>
    <definedName name="VOUT" localSheetId="0">'Dual Output'!#REF!</definedName>
    <definedName name="VOUT" localSheetId="1">'Single Output'!#REF!</definedName>
    <definedName name="VOUT" localSheetId="2">'Vin UVLO Prog. &amp; Startup Delay'!#REF!</definedName>
    <definedName name="VOUT">#REF!</definedName>
    <definedName name="VPP_MAX" localSheetId="0">'Dual Output'!#REF!</definedName>
    <definedName name="VPP_MAX" localSheetId="1">'Single Output'!#REF!</definedName>
    <definedName name="VPP_MAX" localSheetId="2">'Vin UVLO Prog. &amp; Startup Delay'!#REF!</definedName>
    <definedName name="VPP_MAX">#REF!</definedName>
    <definedName name="VR_pri_max">'[1]Hide Calculate'!$D$32</definedName>
    <definedName name="Vref_431" localSheetId="0">'Dual Output'!#REF!</definedName>
    <definedName name="Vref_431" localSheetId="1">'Single Output'!#REF!</definedName>
    <definedName name="Vref_431" localSheetId="2">'Vin UVLO Prog. &amp; Startup Delay'!#REF!</definedName>
    <definedName name="Vref_431">#REF!</definedName>
    <definedName name="VRfl">'[1]Main Calculation'!$D$47</definedName>
    <definedName name="Vs_clamp">'[1]Main Calculation'!$D$14</definedName>
    <definedName name="VSR_actual" localSheetId="0">'Dual Output'!#REF!</definedName>
    <definedName name="VSR_actual" localSheetId="1">'Single Output'!#REF!</definedName>
    <definedName name="VSR_actual" localSheetId="2">'Vin UVLO Prog. &amp; Startup Delay'!#REF!</definedName>
    <definedName name="VSR_actual">#REF!</definedName>
    <definedName name="Vth_Qs" localSheetId="0">'Dual Output'!#REF!</definedName>
    <definedName name="Vth_Qs" localSheetId="1">'Single Output'!#REF!</definedName>
    <definedName name="Vth_Qs" localSheetId="2">'Vin UVLO Prog. &amp; Startup Delay'!#REF!</definedName>
    <definedName name="Vth_Qs">#REF!</definedName>
    <definedName name="VVS_OVP">'[1]Main Calculation'!$D$8</definedName>
    <definedName name="Vx_SR" localSheetId="0">'Dual Output'!#REF!</definedName>
    <definedName name="Vx_SR" localSheetId="1">'Single Output'!#REF!</definedName>
    <definedName name="Vx_SR" localSheetId="2">'Vin UVLO Prog. &amp; Startup Delay'!#REF!</definedName>
    <definedName name="Vx_SR">#REF!</definedName>
    <definedName name="Vxh" localSheetId="0">'Dual Output'!#REF!</definedName>
    <definedName name="Vxh" localSheetId="1">'Single Output'!#REF!</definedName>
    <definedName name="Vxh" localSheetId="2">'Vin UVLO Prog. &amp; Startup Delay'!#REF!</definedName>
    <definedName name="Vxh">#REF!</definedName>
    <definedName name="Vxl" localSheetId="0">'Dual Output'!#REF!</definedName>
    <definedName name="Vxl" localSheetId="1">'Single Output'!#REF!</definedName>
    <definedName name="Vxl" localSheetId="2">'Vin UVLO Prog. &amp; Startup Delay'!#REF!</definedName>
    <definedName name="Vxl">#REF!</definedName>
    <definedName name="ΔVCLAMP">'[1]Main Calculation'!$D$35</definedName>
    <definedName name="ΔVSPIKE">'[1]Main Calculation'!$D$34</definedName>
    <definedName name="η">'[1]Main Calculation'!$D$31</definedName>
    <definedName name="η_min" localSheetId="0">'Dual Output'!#REF!</definedName>
    <definedName name="η_min" localSheetId="1">'Single Output'!#REF!</definedName>
    <definedName name="η_min" localSheetId="2">'Vin UVLO Prog. &amp; Startup Delay'!#REF!</definedName>
    <definedName name="η_min">#REF!</definedName>
    <definedName name="ηXFMR">'[1]Main Calculation'!$D$53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7" l="1"/>
  <c r="C29" i="17"/>
  <c r="C38" i="17" l="1"/>
  <c r="C55" i="17" l="1"/>
  <c r="H45" i="17" s="1"/>
  <c r="C35" i="17" l="1"/>
  <c r="C37" i="17" s="1"/>
  <c r="C34" i="17"/>
  <c r="C36" i="17" s="1"/>
  <c r="C39" i="17" l="1"/>
  <c r="C47" i="17" l="1"/>
  <c r="H37" i="20" l="1"/>
  <c r="C40" i="19" l="1"/>
  <c r="C15" i="19"/>
  <c r="H37" i="17" l="1"/>
  <c r="H38" i="20" l="1"/>
  <c r="C30" i="20" l="1"/>
  <c r="C28" i="20"/>
  <c r="H36" i="20" s="1"/>
  <c r="C21" i="20"/>
  <c r="C18" i="20"/>
  <c r="C22" i="20" s="1"/>
  <c r="H32" i="20"/>
  <c r="H31" i="20"/>
  <c r="C23" i="20" l="1"/>
  <c r="H8" i="20"/>
  <c r="C20" i="17"/>
  <c r="H38" i="17" l="1"/>
  <c r="C45" i="19" l="1"/>
  <c r="C46" i="19" l="1"/>
  <c r="C14" i="19"/>
  <c r="C44" i="19" s="1"/>
  <c r="C35" i="19" l="1"/>
  <c r="C53" i="17"/>
  <c r="C33" i="19" l="1"/>
  <c r="H44" i="17"/>
  <c r="H42" i="17"/>
  <c r="H36" i="17"/>
  <c r="H35" i="17"/>
  <c r="H34" i="17"/>
  <c r="H43" i="17"/>
  <c r="C37" i="19" l="1"/>
  <c r="C38" i="19"/>
  <c r="C25" i="17"/>
  <c r="C26" i="17" s="1"/>
  <c r="C41" i="17" s="1"/>
  <c r="C24" i="17"/>
  <c r="C40" i="17" l="1"/>
  <c r="H9" i="17"/>
  <c r="H8" i="17"/>
  <c r="C51" i="17"/>
  <c r="C49" i="17"/>
  <c r="H10" i="17" l="1"/>
  <c r="C42" i="17"/>
</calcChain>
</file>

<file path=xl/sharedStrings.xml><?xml version="1.0" encoding="utf-8"?>
<sst xmlns="http://schemas.openxmlformats.org/spreadsheetml/2006/main" count="343" uniqueCount="168">
  <si>
    <t>mA</t>
  </si>
  <si>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</si>
  <si>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CLEAR ALL USER INPUT CELLS BEFORE STARTING A NEW DESIGN</t>
  </si>
  <si>
    <r>
      <t>WHERE APPLICABLE, A RECOMMENDED VALUE IS GIVEN THAT WILL BE THE BEST CHOICE TO MEET THE GIVEN SPECIFICATION.  IT IS IN THE BEST INTEREST OF THE USER TO USE A VALUE AS CLOSE AS POSSIBLE TO THE RECOMMENDED</t>
    </r>
    <r>
      <rPr>
        <sz val="11"/>
        <color rgb="FFFF00FF"/>
        <rFont val="Arial"/>
        <family val="2"/>
      </rPr>
      <t xml:space="preserve"> </t>
    </r>
    <r>
      <rPr>
        <sz val="11"/>
        <rFont val="Arial"/>
        <family val="2"/>
      </rPr>
      <t xml:space="preserve"> VALUE.  FOR ACCURATE RESULTS, THE USER MUST ENTER THE ACTUAL VALUE USED IN THE APPROPRIATE CELL.</t>
    </r>
  </si>
  <si>
    <t>DESIGN REQUIREMENTS</t>
  </si>
  <si>
    <t>V</t>
  </si>
  <si>
    <t>kHz</t>
    <phoneticPr fontId="0" type="noConversion"/>
  </si>
  <si>
    <t>pF</t>
  </si>
  <si>
    <t>µF</t>
  </si>
  <si>
    <t>µC</t>
  </si>
  <si>
    <r>
      <t>Switching frequency of gate driver load, f</t>
    </r>
    <r>
      <rPr>
        <vertAlign val="subscript"/>
        <sz val="11"/>
        <rFont val="Arial"/>
        <family val="2"/>
      </rPr>
      <t xml:space="preserve">SW </t>
    </r>
    <r>
      <rPr>
        <sz val="11"/>
        <rFont val="Arial"/>
        <family val="2"/>
      </rPr>
      <t>=</t>
    </r>
  </si>
  <si>
    <t>kΩ</t>
  </si>
  <si>
    <t>Differential voltage between COM and VEE, COM - VEE =</t>
  </si>
  <si>
    <t>Includes the operating current of gate driver without switching</t>
  </si>
  <si>
    <r>
      <t>Decoupling capacitor between VIN and GNDP, C</t>
    </r>
    <r>
      <rPr>
        <vertAlign val="subscript"/>
        <sz val="11"/>
        <rFont val="Arial"/>
        <family val="2"/>
      </rPr>
      <t>IN</t>
    </r>
    <r>
      <rPr>
        <sz val="11"/>
        <rFont val="Arial"/>
        <family val="2"/>
      </rPr>
      <t xml:space="preserve"> =</t>
    </r>
  </si>
  <si>
    <t>RECOMMENDED COMPONENT VALUE FROM DESIGN REQUIREMENTS</t>
  </si>
  <si>
    <t>OTHER RECOMMENDED COMPONENT VALUE</t>
  </si>
  <si>
    <t>%</t>
  </si>
  <si>
    <t>W</t>
  </si>
  <si>
    <t>Disclaimer</t>
  </si>
  <si>
    <t>10 // 0.1</t>
  </si>
  <si>
    <r>
      <t>Desired AC gate-switching ripple percentage between VDD and COM, %V</t>
    </r>
    <r>
      <rPr>
        <vertAlign val="subscript"/>
        <sz val="11"/>
        <rFont val="Arial"/>
        <family val="2"/>
      </rPr>
      <t>PP_MAX</t>
    </r>
  </si>
  <si>
    <t>Respect to VDD-COM</t>
  </si>
  <si>
    <r>
      <t>Quiescent current of other load on (VDD – COM) except gate driver, I</t>
    </r>
    <r>
      <rPr>
        <vertAlign val="subscript"/>
        <sz val="11"/>
        <rFont val="Arial"/>
        <family val="2"/>
      </rPr>
      <t>Q_OTHER_VDD</t>
    </r>
  </si>
  <si>
    <r>
      <t xml:space="preserve">ALL </t>
    </r>
    <r>
      <rPr>
        <b/>
        <sz val="14"/>
        <color rgb="FF92D050"/>
        <rFont val="Arial"/>
        <family val="2"/>
      </rPr>
      <t>GREEN</t>
    </r>
    <r>
      <rPr>
        <b/>
        <sz val="14"/>
        <color theme="1"/>
        <rFont val="Arial"/>
        <family val="2"/>
      </rPr>
      <t xml:space="preserve"> CELLS ARE USER INPUTS; CELLS INTO </t>
    </r>
    <r>
      <rPr>
        <b/>
        <sz val="14"/>
        <color rgb="FFFF0000"/>
        <rFont val="Arial"/>
        <family val="2"/>
      </rPr>
      <t>RED</t>
    </r>
    <r>
      <rPr>
        <b/>
        <sz val="14"/>
        <color theme="1"/>
        <rFont val="Arial"/>
        <family val="2"/>
      </rPr>
      <t xml:space="preserve"> MEANS ERROR ON USER INPUTS</t>
    </r>
  </si>
  <si>
    <r>
      <t>Total gate charge of power switch, Q</t>
    </r>
    <r>
      <rPr>
        <vertAlign val="subscript"/>
        <sz val="11"/>
        <rFont val="Arial"/>
        <family val="2"/>
      </rPr>
      <t>gtot</t>
    </r>
    <r>
      <rPr>
        <sz val="11"/>
        <rFont val="Arial"/>
        <family val="2"/>
      </rPr>
      <t xml:space="preserve"> =</t>
    </r>
  </si>
  <si>
    <r>
      <t>Total quiescent current from (VDD-COM), I</t>
    </r>
    <r>
      <rPr>
        <vertAlign val="subscript"/>
        <sz val="11"/>
        <rFont val="Arial"/>
        <family val="2"/>
      </rPr>
      <t>Q_VDD-COM</t>
    </r>
  </si>
  <si>
    <t>Differential voltage between VDD and COM, VDD - COM =</t>
  </si>
  <si>
    <r>
      <t>Bottom feedback resistor between FBVDD and COM, R</t>
    </r>
    <r>
      <rPr>
        <vertAlign val="subscript"/>
        <sz val="11"/>
        <rFont val="Arial"/>
        <family val="2"/>
      </rPr>
      <t>FBVDD_BOT</t>
    </r>
  </si>
  <si>
    <r>
      <t>Resistor Divider Design for V</t>
    </r>
    <r>
      <rPr>
        <b/>
        <i/>
        <vertAlign val="subscript"/>
        <sz val="14"/>
        <rFont val="Arial"/>
        <family val="2"/>
      </rPr>
      <t>VDD-COM</t>
    </r>
    <r>
      <rPr>
        <b/>
        <i/>
        <sz val="14"/>
        <rFont val="Arial"/>
        <family val="2"/>
      </rPr>
      <t xml:space="preserve"> </t>
    </r>
  </si>
  <si>
    <r>
      <t>Resistor Selection for V</t>
    </r>
    <r>
      <rPr>
        <b/>
        <i/>
        <vertAlign val="subscript"/>
        <sz val="14"/>
        <rFont val="Arial"/>
        <family val="2"/>
      </rPr>
      <t>COM-VEE</t>
    </r>
  </si>
  <si>
    <r>
      <t>Feedback resistor between VEE and FBVEE, R</t>
    </r>
    <r>
      <rPr>
        <vertAlign val="subscript"/>
        <sz val="11"/>
        <rFont val="Arial"/>
        <family val="2"/>
      </rPr>
      <t>FBVEE</t>
    </r>
    <r>
      <rPr>
        <sz val="11"/>
        <rFont val="Arial"/>
        <family val="2"/>
      </rPr>
      <t xml:space="preserve"> =</t>
    </r>
  </si>
  <si>
    <r>
      <t>Decoupling capacitor between COM and VEE, C</t>
    </r>
    <r>
      <rPr>
        <vertAlign val="subscript"/>
        <sz val="11"/>
        <rFont val="Arial"/>
        <family val="2"/>
      </rPr>
      <t>VEE</t>
    </r>
    <r>
      <rPr>
        <sz val="11"/>
        <rFont val="Arial"/>
        <family val="2"/>
      </rPr>
      <t xml:space="preserve"> =</t>
    </r>
  </si>
  <si>
    <r>
      <t>Inductor Selection for L</t>
    </r>
    <r>
      <rPr>
        <b/>
        <i/>
        <vertAlign val="subscript"/>
        <sz val="14"/>
        <rFont val="Arial"/>
        <family val="2"/>
      </rPr>
      <t>BB</t>
    </r>
  </si>
  <si>
    <r>
      <t>Decoupling Capacitor Design Close to Output Load (C</t>
    </r>
    <r>
      <rPr>
        <b/>
        <i/>
        <vertAlign val="subscript"/>
        <sz val="14"/>
        <rFont val="Arial"/>
        <family val="2"/>
      </rPr>
      <t>VDD_GD</t>
    </r>
    <r>
      <rPr>
        <b/>
        <i/>
        <sz val="14"/>
        <rFont val="Arial"/>
        <family val="2"/>
      </rPr>
      <t>, C</t>
    </r>
    <r>
      <rPr>
        <b/>
        <i/>
        <vertAlign val="subscript"/>
        <sz val="14"/>
        <rFont val="Arial"/>
        <family val="2"/>
      </rPr>
      <t>VEE_GD</t>
    </r>
    <r>
      <rPr>
        <b/>
        <i/>
        <sz val="14"/>
        <rFont val="Arial"/>
        <family val="2"/>
      </rPr>
      <t>)</t>
    </r>
  </si>
  <si>
    <t>µH</t>
  </si>
  <si>
    <r>
      <t>Choose an indcutor with I</t>
    </r>
    <r>
      <rPr>
        <vertAlign val="subscript"/>
        <sz val="11"/>
        <rFont val="Arial"/>
        <family val="2"/>
      </rPr>
      <t>sat</t>
    </r>
    <r>
      <rPr>
        <sz val="11"/>
        <rFont val="Arial"/>
        <family val="2"/>
      </rPr>
      <t xml:space="preserve"> ≥ 350mA</t>
    </r>
  </si>
  <si>
    <t>Respect to COM-VEE</t>
  </si>
  <si>
    <r>
      <t>Selected C</t>
    </r>
    <r>
      <rPr>
        <vertAlign val="subscript"/>
        <sz val="11"/>
        <rFont val="Arial"/>
        <family val="2"/>
      </rPr>
      <t>VDD_GD</t>
    </r>
    <r>
      <rPr>
        <sz val="11"/>
        <rFont val="Arial"/>
        <family val="2"/>
      </rPr>
      <t xml:space="preserve"> value, C</t>
    </r>
    <r>
      <rPr>
        <vertAlign val="subscript"/>
        <sz val="11"/>
        <rFont val="Arial"/>
        <family val="2"/>
      </rPr>
      <t>VDD_GD</t>
    </r>
    <r>
      <rPr>
        <sz val="11"/>
        <rFont val="Arial"/>
        <family val="2"/>
      </rPr>
      <t xml:space="preserve"> =</t>
    </r>
  </si>
  <si>
    <r>
      <t>Recommended min. energy-storage capacitance between VDD and COM, at Gate Driver. C</t>
    </r>
    <r>
      <rPr>
        <vertAlign val="subscript"/>
        <sz val="11"/>
        <rFont val="Arial"/>
        <family val="2"/>
      </rPr>
      <t>VDD_GD_min</t>
    </r>
    <r>
      <rPr>
        <sz val="11"/>
        <rFont val="Arial"/>
        <family val="2"/>
      </rPr>
      <t xml:space="preserve"> = </t>
    </r>
  </si>
  <si>
    <r>
      <t>Recommended min. energy-storage capacitance between COM and VEE, at Gate Driver. C</t>
    </r>
    <r>
      <rPr>
        <vertAlign val="subscript"/>
        <sz val="11"/>
        <rFont val="Arial"/>
        <family val="2"/>
      </rPr>
      <t>VEE_GD_min</t>
    </r>
    <r>
      <rPr>
        <sz val="11"/>
        <rFont val="Arial"/>
        <family val="2"/>
      </rPr>
      <t xml:space="preserve"> = </t>
    </r>
  </si>
  <si>
    <r>
      <t>Selected C</t>
    </r>
    <r>
      <rPr>
        <vertAlign val="subscript"/>
        <sz val="11"/>
        <rFont val="Arial"/>
        <family val="2"/>
      </rPr>
      <t>VEE_GD</t>
    </r>
    <r>
      <rPr>
        <sz val="11"/>
        <rFont val="Arial"/>
        <family val="2"/>
      </rPr>
      <t xml:space="preserve"> value, C</t>
    </r>
    <r>
      <rPr>
        <vertAlign val="subscript"/>
        <sz val="11"/>
        <rFont val="Arial"/>
        <family val="2"/>
      </rPr>
      <t>VEE_GD</t>
    </r>
    <r>
      <rPr>
        <sz val="11"/>
        <rFont val="Arial"/>
        <family val="2"/>
      </rPr>
      <t xml:space="preserve"> =</t>
    </r>
  </si>
  <si>
    <r>
      <t>Total output power requirement, P</t>
    </r>
    <r>
      <rPr>
        <vertAlign val="subscript"/>
        <sz val="11"/>
        <rFont val="Arial"/>
        <family val="2"/>
      </rPr>
      <t>O</t>
    </r>
    <r>
      <rPr>
        <sz val="11"/>
        <rFont val="Arial"/>
        <family val="2"/>
      </rPr>
      <t xml:space="preserve"> =</t>
    </r>
  </si>
  <si>
    <t>This value should be lower than the VEE-regulator output current capacity in the next row. Otherwise, an error will be highlighed in this cell.</t>
  </si>
  <si>
    <r>
      <t>Quiescent current of the gate driver on VDD, I</t>
    </r>
    <r>
      <rPr>
        <vertAlign val="subscript"/>
        <sz val="11"/>
        <rFont val="Arial"/>
        <family val="2"/>
      </rPr>
      <t xml:space="preserve">Q_DRIVER_VDD </t>
    </r>
    <r>
      <rPr>
        <sz val="11"/>
        <rFont val="Arial"/>
        <family val="2"/>
      </rPr>
      <t>= I</t>
    </r>
    <r>
      <rPr>
        <vertAlign val="subscript"/>
        <sz val="11"/>
        <rFont val="Arial"/>
        <family val="2"/>
      </rPr>
      <t xml:space="preserve">QVCC2 </t>
    </r>
    <r>
      <rPr>
        <sz val="11"/>
        <rFont val="Arial"/>
        <family val="2"/>
      </rPr>
      <t>=</t>
    </r>
  </si>
  <si>
    <t>Note: Achieve the minimum required capacitance, careful attention should be paid to the applied DC voltage vs. capacitor rated working voltage, temperature, tolerance and dielectric type.</t>
  </si>
  <si>
    <r>
      <t>Quiescent current of other load on VEE, I</t>
    </r>
    <r>
      <rPr>
        <vertAlign val="subscript"/>
        <sz val="11"/>
        <rFont val="Arial"/>
        <family val="2"/>
      </rPr>
      <t>Q_DRIVER_VEE</t>
    </r>
    <r>
      <rPr>
        <sz val="11"/>
        <rFont val="Arial"/>
        <family val="2"/>
      </rPr>
      <t xml:space="preserve"> =</t>
    </r>
  </si>
  <si>
    <t>Unit</t>
  </si>
  <si>
    <r>
      <t>Top feedback resistor between VDD and FBVDD, R</t>
    </r>
    <r>
      <rPr>
        <vertAlign val="subscript"/>
        <sz val="11"/>
        <rFont val="Arial"/>
        <family val="2"/>
      </rPr>
      <t>FBVDD_TOP</t>
    </r>
    <r>
      <rPr>
        <sz val="11"/>
        <rFont val="Arial"/>
        <family val="2"/>
      </rPr>
      <t xml:space="preserve"> =</t>
    </r>
  </si>
  <si>
    <t>Output power contribution from gate positive voltage swing VDD-COM switching</t>
  </si>
  <si>
    <t>Output power contribution from gate negative voltage swing VEE-COM switching</t>
  </si>
  <si>
    <t>Output current requirement of VEE regulator</t>
  </si>
  <si>
    <r>
      <t>determined by: R</t>
    </r>
    <r>
      <rPr>
        <vertAlign val="subscript"/>
        <sz val="11"/>
        <rFont val="Arial"/>
        <family val="2"/>
      </rPr>
      <t>FBVDD_BOT</t>
    </r>
    <r>
      <rPr>
        <sz val="11"/>
        <rFont val="Arial"/>
        <family val="2"/>
      </rPr>
      <t>*[(VDD-COM)/2.5-1], where 2.5V is internal reference voltage</t>
    </r>
  </si>
  <si>
    <t>BOM Components</t>
  </si>
  <si>
    <r>
      <t>C</t>
    </r>
    <r>
      <rPr>
        <b/>
        <vertAlign val="subscript"/>
        <sz val="14"/>
        <color rgb="FF000000"/>
        <rFont val="Calibri"/>
        <family val="2"/>
      </rPr>
      <t>IN</t>
    </r>
  </si>
  <si>
    <r>
      <t>C</t>
    </r>
    <r>
      <rPr>
        <b/>
        <vertAlign val="subscript"/>
        <sz val="14"/>
        <color rgb="FF000000"/>
        <rFont val="Calibri"/>
        <family val="2"/>
      </rPr>
      <t>VDD</t>
    </r>
  </si>
  <si>
    <r>
      <t>C</t>
    </r>
    <r>
      <rPr>
        <b/>
        <vertAlign val="subscript"/>
        <sz val="14"/>
        <color rgb="FF000000"/>
        <rFont val="Calibri"/>
        <family val="2"/>
      </rPr>
      <t>VDD_GD</t>
    </r>
  </si>
  <si>
    <r>
      <t>C</t>
    </r>
    <r>
      <rPr>
        <b/>
        <vertAlign val="subscript"/>
        <sz val="14"/>
        <color rgb="FF000000"/>
        <rFont val="Calibri"/>
        <family val="2"/>
      </rPr>
      <t>VEE</t>
    </r>
  </si>
  <si>
    <r>
      <t>C</t>
    </r>
    <r>
      <rPr>
        <b/>
        <vertAlign val="subscript"/>
        <sz val="14"/>
        <color rgb="FF000000"/>
        <rFont val="Calibri"/>
        <family val="2"/>
      </rPr>
      <t>VEE_GD</t>
    </r>
  </si>
  <si>
    <r>
      <t>C</t>
    </r>
    <r>
      <rPr>
        <b/>
        <vertAlign val="subscript"/>
        <sz val="14"/>
        <color rgb="FF000000"/>
        <rFont val="Calibri"/>
        <family val="2"/>
      </rPr>
      <t>FBVDD</t>
    </r>
  </si>
  <si>
    <r>
      <t>C</t>
    </r>
    <r>
      <rPr>
        <b/>
        <vertAlign val="subscript"/>
        <sz val="14"/>
        <color rgb="FF000000"/>
        <rFont val="Calibri"/>
        <family val="2"/>
      </rPr>
      <t>ENA</t>
    </r>
  </si>
  <si>
    <r>
      <t>L</t>
    </r>
    <r>
      <rPr>
        <b/>
        <vertAlign val="subscript"/>
        <sz val="14"/>
        <color rgb="FF000000"/>
        <rFont val="Calibri"/>
        <family val="2"/>
      </rPr>
      <t>BB</t>
    </r>
  </si>
  <si>
    <r>
      <t>R</t>
    </r>
    <r>
      <rPr>
        <b/>
        <vertAlign val="subscript"/>
        <sz val="14"/>
        <color rgb="FF000000"/>
        <rFont val="Calibri"/>
        <family val="2"/>
      </rPr>
      <t>FBVDD_TOP</t>
    </r>
  </si>
  <si>
    <r>
      <t>R</t>
    </r>
    <r>
      <rPr>
        <b/>
        <vertAlign val="subscript"/>
        <sz val="14"/>
        <color rgb="FF000000"/>
        <rFont val="Calibri"/>
        <family val="2"/>
      </rPr>
      <t>FBVDD_BOT</t>
    </r>
  </si>
  <si>
    <r>
      <t>R</t>
    </r>
    <r>
      <rPr>
        <b/>
        <vertAlign val="subscript"/>
        <sz val="14"/>
        <color rgb="FF000000"/>
        <rFont val="Calibri"/>
        <family val="2"/>
      </rPr>
      <t>FBVEE</t>
    </r>
  </si>
  <si>
    <r>
      <t>R</t>
    </r>
    <r>
      <rPr>
        <b/>
        <vertAlign val="subscript"/>
        <sz val="14"/>
        <color rgb="FF000000"/>
        <rFont val="Calibri"/>
        <family val="2"/>
      </rPr>
      <t>ENA</t>
    </r>
  </si>
  <si>
    <r>
      <t>R</t>
    </r>
    <r>
      <rPr>
        <b/>
        <vertAlign val="subscript"/>
        <sz val="14"/>
        <color rgb="FF000000"/>
        <rFont val="Calibri"/>
        <family val="2"/>
      </rPr>
      <t>PG</t>
    </r>
  </si>
  <si>
    <t>RECOMMENDED COMPONENT VALUE</t>
  </si>
  <si>
    <t>uA</t>
  </si>
  <si>
    <t>Rising Threshold</t>
  </si>
  <si>
    <t>Min</t>
  </si>
  <si>
    <t>Typ</t>
  </si>
  <si>
    <t>Max</t>
  </si>
  <si>
    <t>Falling Threshold</t>
  </si>
  <si>
    <t>ms</t>
  </si>
  <si>
    <t>nF</t>
  </si>
  <si>
    <r>
      <t>Quiescent current allowance from the UVLO programmer resistors, I</t>
    </r>
    <r>
      <rPr>
        <vertAlign val="subscript"/>
        <sz val="11"/>
        <color theme="1"/>
        <rFont val="Arial"/>
        <family val="2"/>
      </rPr>
      <t>Q_UVLO</t>
    </r>
    <r>
      <rPr>
        <sz val="11"/>
        <color theme="1"/>
        <rFont val="Arial"/>
        <family val="2"/>
      </rPr>
      <t xml:space="preserve"> =</t>
    </r>
  </si>
  <si>
    <r>
      <t>Min. input voltage, V</t>
    </r>
    <r>
      <rPr>
        <vertAlign val="subscript"/>
        <sz val="11"/>
        <color theme="1"/>
        <rFont val="Arial"/>
        <family val="2"/>
      </rPr>
      <t>IN_MIN</t>
    </r>
    <r>
      <rPr>
        <sz val="11"/>
        <color theme="1"/>
        <rFont val="Arial"/>
        <family val="2"/>
      </rPr>
      <t xml:space="preserve"> =</t>
    </r>
  </si>
  <si>
    <r>
      <t>Max. input voltage, V</t>
    </r>
    <r>
      <rPr>
        <vertAlign val="subscript"/>
        <sz val="11"/>
        <color theme="1"/>
        <rFont val="Arial"/>
        <family val="2"/>
      </rPr>
      <t>IN_MAX</t>
    </r>
    <r>
      <rPr>
        <sz val="11"/>
        <color theme="1"/>
        <rFont val="Arial"/>
        <family val="2"/>
      </rPr>
      <t xml:space="preserve"> =</t>
    </r>
  </si>
  <si>
    <t>ENA THRESHOLD SPECS</t>
  </si>
  <si>
    <r>
      <t>Selected R</t>
    </r>
    <r>
      <rPr>
        <vertAlign val="subscript"/>
        <sz val="11"/>
        <rFont val="Arial"/>
        <family val="2"/>
      </rPr>
      <t>UVLO_TOP</t>
    </r>
    <r>
      <rPr>
        <sz val="11"/>
        <rFont val="Arial"/>
        <family val="2"/>
      </rPr>
      <t xml:space="preserve"> value </t>
    </r>
  </si>
  <si>
    <r>
      <t>Selected R</t>
    </r>
    <r>
      <rPr>
        <vertAlign val="subscript"/>
        <sz val="11"/>
        <rFont val="Arial"/>
        <family val="2"/>
      </rPr>
      <t>UVLO_BOT</t>
    </r>
    <r>
      <rPr>
        <sz val="11"/>
        <rFont val="Arial"/>
        <family val="2"/>
      </rPr>
      <t xml:space="preserve"> value </t>
    </r>
  </si>
  <si>
    <r>
      <t>Recommended R</t>
    </r>
    <r>
      <rPr>
        <vertAlign val="subscript"/>
        <sz val="11"/>
        <rFont val="Arial"/>
        <family val="2"/>
      </rPr>
      <t>UVLO_TOP</t>
    </r>
    <r>
      <rPr>
        <sz val="11"/>
        <rFont val="Arial"/>
        <family val="2"/>
      </rPr>
      <t xml:space="preserve"> =</t>
    </r>
  </si>
  <si>
    <r>
      <t>Recommended R</t>
    </r>
    <r>
      <rPr>
        <vertAlign val="subscript"/>
        <sz val="11"/>
        <rFont val="Arial"/>
        <family val="2"/>
      </rPr>
      <t>UVLO_BOT</t>
    </r>
    <r>
      <rPr>
        <sz val="11"/>
        <rFont val="Arial"/>
        <family val="2"/>
      </rPr>
      <t xml:space="preserve"> =</t>
    </r>
  </si>
  <si>
    <t>This value should be lower than the abs. max. of ENA pin (5.5V). Otherwise, this cell will be flagged in red color.</t>
  </si>
  <si>
    <t>This value should be higher than the max. ENA rising threshold (1.575V). Other wise, this cell will be flagged in red color.</t>
  </si>
  <si>
    <r>
      <t>Filter capacitor between FBVDD and COMA, C</t>
    </r>
    <r>
      <rPr>
        <vertAlign val="subscript"/>
        <sz val="11"/>
        <rFont val="Arial"/>
        <family val="2"/>
      </rPr>
      <t>FBVDD</t>
    </r>
    <r>
      <rPr>
        <sz val="11"/>
        <rFont val="Arial"/>
        <family val="2"/>
      </rPr>
      <t xml:space="preserve"> =</t>
    </r>
  </si>
  <si>
    <r>
      <t>Decoupling capacitor between VDD and COM, C</t>
    </r>
    <r>
      <rPr>
        <vertAlign val="subscript"/>
        <sz val="11"/>
        <rFont val="Arial"/>
        <family val="2"/>
      </rPr>
      <t>VDD</t>
    </r>
    <r>
      <rPr>
        <sz val="11"/>
        <rFont val="Arial"/>
        <family val="2"/>
      </rPr>
      <t xml:space="preserve"> =</t>
    </r>
  </si>
  <si>
    <r>
      <t>Filter capacitor between FBVEE and COMA, C</t>
    </r>
    <r>
      <rPr>
        <vertAlign val="subscript"/>
        <sz val="11"/>
        <rFont val="Arial"/>
        <family val="2"/>
      </rPr>
      <t>FBVEE</t>
    </r>
    <r>
      <rPr>
        <sz val="11"/>
        <rFont val="Arial"/>
        <family val="2"/>
      </rPr>
      <t xml:space="preserve"> =</t>
    </r>
  </si>
  <si>
    <r>
      <t>C</t>
    </r>
    <r>
      <rPr>
        <b/>
        <vertAlign val="subscript"/>
        <sz val="14"/>
        <color rgb="FF000000"/>
        <rFont val="Calibri"/>
        <family val="2"/>
      </rPr>
      <t>FBVEE</t>
    </r>
  </si>
  <si>
    <r>
      <t>Nominal Input Voltage, V</t>
    </r>
    <r>
      <rPr>
        <vertAlign val="subscript"/>
        <sz val="11"/>
        <color theme="1"/>
        <rFont val="Arial"/>
        <family val="2"/>
      </rPr>
      <t>IN_NOM</t>
    </r>
    <r>
      <rPr>
        <sz val="11"/>
        <color theme="1"/>
        <rFont val="Arial"/>
        <family val="2"/>
      </rPr>
      <t xml:space="preserve"> =</t>
    </r>
  </si>
  <si>
    <r>
      <t>Recommended C</t>
    </r>
    <r>
      <rPr>
        <vertAlign val="subscript"/>
        <sz val="11"/>
        <rFont val="Arial"/>
        <family val="2"/>
      </rPr>
      <t>UVLO</t>
    </r>
    <r>
      <rPr>
        <sz val="11"/>
        <rFont val="Arial"/>
        <family val="2"/>
      </rPr>
      <t xml:space="preserve"> =</t>
    </r>
  </si>
  <si>
    <t>ENA PIN VOLTAGE vs THRESHOLD CHECK for UVLO</t>
  </si>
  <si>
    <r>
      <t>Nominal ENA PIN voltage value at V</t>
    </r>
    <r>
      <rPr>
        <vertAlign val="subscript"/>
        <sz val="11"/>
        <rFont val="Arial"/>
        <family val="2"/>
      </rPr>
      <t xml:space="preserve">IN_NOM, </t>
    </r>
    <r>
      <rPr>
        <sz val="11"/>
        <rFont val="Arial"/>
        <family val="2"/>
      </rPr>
      <t>V</t>
    </r>
    <r>
      <rPr>
        <vertAlign val="subscript"/>
        <sz val="11"/>
        <rFont val="Arial"/>
        <family val="2"/>
      </rPr>
      <t xml:space="preserve">ENA_NOM </t>
    </r>
    <r>
      <rPr>
        <sz val="11"/>
        <rFont val="Arial"/>
        <family val="2"/>
      </rPr>
      <t>=</t>
    </r>
  </si>
  <si>
    <r>
      <t>Minimum ENA PIN voltage value at V</t>
    </r>
    <r>
      <rPr>
        <vertAlign val="subscript"/>
        <sz val="11"/>
        <rFont val="Arial"/>
        <family val="2"/>
      </rPr>
      <t xml:space="preserve">IN_MIN, </t>
    </r>
    <r>
      <rPr>
        <sz val="11"/>
        <rFont val="Arial"/>
        <family val="2"/>
      </rPr>
      <t>V</t>
    </r>
    <r>
      <rPr>
        <vertAlign val="subscript"/>
        <sz val="11"/>
        <rFont val="Arial"/>
        <family val="2"/>
      </rPr>
      <t xml:space="preserve">ENA_MIN </t>
    </r>
    <r>
      <rPr>
        <sz val="11"/>
        <rFont val="Arial"/>
        <family val="2"/>
      </rPr>
      <t>=</t>
    </r>
  </si>
  <si>
    <r>
      <t>Maximum ENA PIN voltage value at V</t>
    </r>
    <r>
      <rPr>
        <vertAlign val="subscript"/>
        <sz val="11"/>
        <rFont val="Arial"/>
        <family val="2"/>
      </rPr>
      <t xml:space="preserve">IN_MAX, </t>
    </r>
    <r>
      <rPr>
        <sz val="11"/>
        <rFont val="Arial"/>
        <family val="2"/>
      </rPr>
      <t>V</t>
    </r>
    <r>
      <rPr>
        <vertAlign val="subscript"/>
        <sz val="11"/>
        <rFont val="Arial"/>
        <family val="2"/>
      </rPr>
      <t xml:space="preserve">ENA_MAX </t>
    </r>
    <r>
      <rPr>
        <sz val="11"/>
        <rFont val="Arial"/>
        <family val="2"/>
      </rPr>
      <t>=</t>
    </r>
  </si>
  <si>
    <t>VDD load current</t>
  </si>
  <si>
    <t xml:space="preserve">VEE load current </t>
  </si>
  <si>
    <t>main power stage load current consdering 70% effciency of buck-boost</t>
  </si>
  <si>
    <t>Choose a value between 300kΩ and 600kΩ to enter the single output configuration mode</t>
  </si>
  <si>
    <t>Output power contribution from gate driver quiescent current</t>
  </si>
  <si>
    <r>
      <t>Selected C</t>
    </r>
    <r>
      <rPr>
        <vertAlign val="subscript"/>
        <sz val="11"/>
        <rFont val="Arial"/>
        <family val="2"/>
      </rPr>
      <t>LOAD</t>
    </r>
    <r>
      <rPr>
        <sz val="11"/>
        <rFont val="Arial"/>
        <family val="2"/>
      </rPr>
      <t xml:space="preserve"> value, C</t>
    </r>
    <r>
      <rPr>
        <vertAlign val="subscript"/>
        <sz val="11"/>
        <rFont val="Arial"/>
        <family val="2"/>
      </rPr>
      <t>LOAD</t>
    </r>
    <r>
      <rPr>
        <sz val="11"/>
        <rFont val="Arial"/>
        <family val="2"/>
      </rPr>
      <t xml:space="preserve"> =</t>
    </r>
  </si>
  <si>
    <r>
      <t>Recommended min. energy-storage capacitance between VDD and COM, at Gate Driver. C</t>
    </r>
    <r>
      <rPr>
        <vertAlign val="subscript"/>
        <sz val="11"/>
        <rFont val="Arial"/>
        <family val="2"/>
      </rPr>
      <t>LOAD_min</t>
    </r>
    <r>
      <rPr>
        <sz val="11"/>
        <rFont val="Arial"/>
        <family val="2"/>
      </rPr>
      <t xml:space="preserve"> = </t>
    </r>
  </si>
  <si>
    <r>
      <t>Decoupling Capacitor Design Close to Output Load (C</t>
    </r>
    <r>
      <rPr>
        <b/>
        <i/>
        <vertAlign val="subscript"/>
        <sz val="14"/>
        <rFont val="Arial"/>
        <family val="2"/>
      </rPr>
      <t>LOAD</t>
    </r>
    <r>
      <rPr>
        <b/>
        <i/>
        <sz val="14"/>
        <rFont val="Arial"/>
        <family val="2"/>
      </rPr>
      <t>)</t>
    </r>
  </si>
  <si>
    <r>
      <t>C</t>
    </r>
    <r>
      <rPr>
        <b/>
        <vertAlign val="subscript"/>
        <sz val="14"/>
        <color rgb="FF000000"/>
        <rFont val="Calibri"/>
        <family val="2"/>
      </rPr>
      <t>LOAD</t>
    </r>
  </si>
  <si>
    <r>
      <t>Start-up delay time by C</t>
    </r>
    <r>
      <rPr>
        <vertAlign val="subscript"/>
        <sz val="11"/>
        <color theme="1"/>
        <rFont val="Arial"/>
        <family val="2"/>
      </rPr>
      <t>UVLO</t>
    </r>
    <r>
      <rPr>
        <sz val="11"/>
        <color theme="1"/>
        <rFont val="Arial"/>
        <family val="2"/>
      </rPr>
      <t>, t</t>
    </r>
    <r>
      <rPr>
        <vertAlign val="subscript"/>
        <sz val="11"/>
        <color theme="1"/>
        <rFont val="Arial"/>
        <family val="2"/>
      </rPr>
      <t>delay1</t>
    </r>
    <r>
      <rPr>
        <sz val="11"/>
        <color theme="1"/>
        <rFont val="Arial"/>
        <family val="2"/>
      </rPr>
      <t xml:space="preserve"> =</t>
    </r>
  </si>
  <si>
    <r>
      <t>Start-up delay time by C</t>
    </r>
    <r>
      <rPr>
        <vertAlign val="subscript"/>
        <sz val="11"/>
        <color theme="1"/>
        <rFont val="Arial"/>
        <family val="2"/>
      </rPr>
      <t>ENA2</t>
    </r>
    <r>
      <rPr>
        <sz val="11"/>
        <color theme="1"/>
        <rFont val="Arial"/>
        <family val="2"/>
      </rPr>
      <t>, t</t>
    </r>
    <r>
      <rPr>
        <vertAlign val="subscript"/>
        <sz val="11"/>
        <color theme="1"/>
        <rFont val="Arial"/>
        <family val="2"/>
      </rPr>
      <t>delay2</t>
    </r>
    <r>
      <rPr>
        <sz val="11"/>
        <color theme="1"/>
        <rFont val="Arial"/>
        <family val="2"/>
      </rPr>
      <t xml:space="preserve"> =</t>
    </r>
  </si>
  <si>
    <r>
      <t>Recommended R</t>
    </r>
    <r>
      <rPr>
        <vertAlign val="subscript"/>
        <sz val="11"/>
        <rFont val="Arial"/>
        <family val="2"/>
      </rPr>
      <t>ENA2</t>
    </r>
    <r>
      <rPr>
        <sz val="11"/>
        <rFont val="Arial"/>
        <family val="2"/>
      </rPr>
      <t xml:space="preserve"> =</t>
    </r>
  </si>
  <si>
    <r>
      <t>Selected R</t>
    </r>
    <r>
      <rPr>
        <vertAlign val="subscript"/>
        <sz val="11"/>
        <rFont val="Arial"/>
        <family val="2"/>
      </rPr>
      <t>ENA2</t>
    </r>
    <r>
      <rPr>
        <sz val="11"/>
        <rFont val="Arial"/>
        <family val="2"/>
      </rPr>
      <t xml:space="preserve"> value </t>
    </r>
  </si>
  <si>
    <r>
      <t>Recommended C</t>
    </r>
    <r>
      <rPr>
        <vertAlign val="subscript"/>
        <sz val="11"/>
        <rFont val="Arial"/>
        <family val="2"/>
      </rPr>
      <t>EMA2</t>
    </r>
    <r>
      <rPr>
        <sz val="11"/>
        <rFont val="Arial"/>
        <family val="2"/>
      </rPr>
      <t xml:space="preserve"> =</t>
    </r>
  </si>
  <si>
    <t>INPUT UVLO PROGRAMMING &amp; START-UP DELAY CALCULATOR TOOL</t>
  </si>
  <si>
    <r>
      <t>C</t>
    </r>
    <r>
      <rPr>
        <b/>
        <vertAlign val="subscript"/>
        <sz val="14"/>
        <color rgb="FF000000"/>
        <rFont val="Calibri"/>
        <family val="2"/>
      </rPr>
      <t>PG</t>
    </r>
  </si>
  <si>
    <t>Value</t>
  </si>
  <si>
    <t>Result derived from curve-fit to simulation data.</t>
  </si>
  <si>
    <t xml:space="preserve">Choose closest standard value </t>
  </si>
  <si>
    <r>
      <t>Maximum C</t>
    </r>
    <r>
      <rPr>
        <vertAlign val="subscript"/>
        <sz val="11"/>
        <rFont val="Arial"/>
        <family val="2"/>
      </rPr>
      <t>VEE_GD</t>
    </r>
    <r>
      <rPr>
        <sz val="11"/>
        <rFont val="Arial"/>
        <family val="2"/>
      </rPr>
      <t xml:space="preserve"> value without triggering VEE soft-start time-out</t>
    </r>
  </si>
  <si>
    <r>
      <t>Quiescent current of other load on (VDD – COM) except gate driver, I</t>
    </r>
    <r>
      <rPr>
        <vertAlign val="subscript"/>
        <sz val="11"/>
        <rFont val="Arial"/>
        <family val="2"/>
      </rPr>
      <t xml:space="preserve">Q_OTHER_VDD </t>
    </r>
    <r>
      <rPr>
        <sz val="11"/>
        <rFont val="Arial"/>
        <family val="2"/>
      </rPr>
      <t>=</t>
    </r>
  </si>
  <si>
    <r>
      <t>Total quiescent current from (VDD-COM), I</t>
    </r>
    <r>
      <rPr>
        <vertAlign val="subscript"/>
        <sz val="11"/>
        <rFont val="Arial"/>
        <family val="2"/>
      </rPr>
      <t>Q_VDD-COM</t>
    </r>
    <r>
      <rPr>
        <sz val="11"/>
        <rFont val="Arial"/>
        <family val="2"/>
      </rPr>
      <t xml:space="preserve"> =</t>
    </r>
  </si>
  <si>
    <r>
      <t>Bottom feedback resistor between FBVDD and COM, R</t>
    </r>
    <r>
      <rPr>
        <vertAlign val="subscript"/>
        <sz val="11"/>
        <rFont val="Arial"/>
        <family val="2"/>
      </rPr>
      <t>FBVDD_BOT</t>
    </r>
    <r>
      <rPr>
        <sz val="11"/>
        <rFont val="Arial"/>
        <family val="2"/>
      </rPr>
      <t xml:space="preserve"> =</t>
    </r>
  </si>
  <si>
    <r>
      <t>Desired AC gate-switching ripple percentage between VDD and COM, %V</t>
    </r>
    <r>
      <rPr>
        <vertAlign val="subscript"/>
        <sz val="11"/>
        <rFont val="Arial"/>
        <family val="2"/>
      </rPr>
      <t>PP_MAX</t>
    </r>
    <r>
      <rPr>
        <sz val="11"/>
        <rFont val="Arial"/>
        <family val="2"/>
      </rPr>
      <t xml:space="preserve"> =</t>
    </r>
  </si>
  <si>
    <r>
      <t>Desired AC gate-switching ripple percentage between COM and VEE, %V</t>
    </r>
    <r>
      <rPr>
        <vertAlign val="subscript"/>
        <sz val="11"/>
        <rFont val="Arial"/>
        <family val="2"/>
      </rPr>
      <t>PP_MAX</t>
    </r>
    <r>
      <rPr>
        <sz val="11"/>
        <rFont val="Arial"/>
        <family val="2"/>
      </rPr>
      <t xml:space="preserve"> =</t>
    </r>
  </si>
  <si>
    <t>&lt; Max. AVG power capability based on the SOA curves in the datasheet</t>
  </si>
  <si>
    <r>
      <t>Output inductor for COM-VEE regulator, L</t>
    </r>
    <r>
      <rPr>
        <vertAlign val="subscript"/>
        <sz val="11"/>
        <rFont val="Arial"/>
        <family val="2"/>
      </rPr>
      <t>BB</t>
    </r>
    <r>
      <rPr>
        <sz val="11"/>
        <rFont val="Arial"/>
        <family val="2"/>
      </rPr>
      <t xml:space="preserve"> =</t>
    </r>
  </si>
  <si>
    <r>
      <t>Saturation current limit of output inductor for COM-VEE regulator,  I</t>
    </r>
    <r>
      <rPr>
        <vertAlign val="subscript"/>
        <sz val="11"/>
        <rFont val="Arial"/>
        <family val="2"/>
      </rPr>
      <t>sat</t>
    </r>
    <r>
      <rPr>
        <sz val="11"/>
        <rFont val="Arial"/>
        <family val="2"/>
      </rPr>
      <t xml:space="preserve"> = </t>
    </r>
  </si>
  <si>
    <r>
      <t>Choose I</t>
    </r>
    <r>
      <rPr>
        <vertAlign val="subscript"/>
        <sz val="11"/>
        <rFont val="Arial"/>
        <family val="2"/>
      </rPr>
      <t>sat</t>
    </r>
    <r>
      <rPr>
        <sz val="11"/>
        <rFont val="Arial"/>
        <family val="2"/>
      </rPr>
      <t xml:space="preserve"> ≥ 350mA</t>
    </r>
  </si>
  <si>
    <r>
      <t>The chozen C</t>
    </r>
    <r>
      <rPr>
        <vertAlign val="subscript"/>
        <sz val="11"/>
        <rFont val="Arial"/>
        <family val="2"/>
      </rPr>
      <t>VEE_GD</t>
    </r>
    <r>
      <rPr>
        <sz val="11"/>
        <rFont val="Arial"/>
        <family val="2"/>
      </rPr>
      <t xml:space="preserve"> needs to be lower than this value with &gt;10% margin.</t>
    </r>
  </si>
  <si>
    <r>
      <t>Choose closest standard value higher than or equal to C</t>
    </r>
    <r>
      <rPr>
        <vertAlign val="subscript"/>
        <sz val="11"/>
        <rFont val="Arial"/>
        <family val="2"/>
      </rPr>
      <t>VDD_GD_min</t>
    </r>
  </si>
  <si>
    <r>
      <t>Choose closest standard value higher than or equal to C</t>
    </r>
    <r>
      <rPr>
        <vertAlign val="subscript"/>
        <sz val="11"/>
        <rFont val="Arial"/>
        <family val="2"/>
      </rPr>
      <t>LOAD_min</t>
    </r>
  </si>
  <si>
    <r>
      <t>Choose closest standard value higher than or equal to C</t>
    </r>
    <r>
      <rPr>
        <vertAlign val="subscript"/>
        <sz val="11"/>
        <rFont val="Arial"/>
        <family val="2"/>
      </rPr>
      <t>VEE_GD_min</t>
    </r>
  </si>
  <si>
    <t xml:space="preserve">Choose closest standard value higher than or equal to the calculated value above. </t>
  </si>
  <si>
    <t>For PG Active-Low</t>
  </si>
  <si>
    <t>For PG Active-High</t>
  </si>
  <si>
    <t>UCC34141x-Q1 DESIGN CALCULATOR TOOL: DUAL OUTPUT</t>
  </si>
  <si>
    <t>UCC34141x-Q1 2W, 12V VIN, Isolated DC/DC Module</t>
  </si>
  <si>
    <t>Place close to UCC34141x-Q1. Recommend to choose 0402 package for the 0.1uF decoupling cap.</t>
  </si>
  <si>
    <t>Place close to UCC34141x-Q1. Recommend to choose a capacitor with SRF in 3MHz to 4MHz range, to provide a low-impedance path in a small loop for the BSW switching noise.</t>
  </si>
  <si>
    <t>Place close to UCC34141x-Q1.</t>
  </si>
  <si>
    <t>UCC34141x-Q1 DESIGN CALCULATOR TOOL: SINGLE OUTPUT</t>
  </si>
  <si>
    <t>UCC34141x-Q1 1.5W, 12V VIN, Isolated DC/DC Module</t>
  </si>
  <si>
    <t>Output current capacity of VEE regulator</t>
  </si>
  <si>
    <t>mW</t>
  </si>
  <si>
    <t>Output power contribution from gate driver switching, considering the VEE-regulator effciency</t>
  </si>
  <si>
    <t>Output power contribution from gate driver quiescent current, considering the VEE-regulator effciency</t>
  </si>
  <si>
    <t>uH</t>
  </si>
  <si>
    <t>VEE buck-boost covnerter output inductance</t>
  </si>
  <si>
    <t>VEE buck-boost covnerter switching frequency</t>
  </si>
  <si>
    <t>ohm</t>
  </si>
  <si>
    <t>MHz</t>
  </si>
  <si>
    <t xml:space="preserve">Core loss of  the VEE buck-boost conveter output inductor </t>
  </si>
  <si>
    <t xml:space="preserve">Core loss resistance (Rp) of the VEE buck-boost output inductor </t>
  </si>
  <si>
    <t xml:space="preserve">DC resistance at 20C room temperature of the VEE buck-boost output inductor </t>
  </si>
  <si>
    <t xml:space="preserve">AC resistance at 20C room temperature of the VEE buck-boost output inductor </t>
  </si>
  <si>
    <t xml:space="preserve">Operating temperature of the VEE buck-boost output inductor </t>
  </si>
  <si>
    <t>deg C</t>
  </si>
  <si>
    <t xml:space="preserve">DC resistance at operating temperature of the VEE buck-boost output inductor </t>
  </si>
  <si>
    <t xml:space="preserve">AC resistance at operating temperature of the VEE buck-boost output inductor </t>
  </si>
  <si>
    <t>Calculated with the temperature coefficient of copper</t>
  </si>
  <si>
    <t xml:space="preserve">Total loss of the VEE buck-boost conveter output inductor </t>
  </si>
  <si>
    <t>Buck-boost inductor loss modeling</t>
  </si>
  <si>
    <t>Summation of the DC winding loss, AC winding loss, and core loss.</t>
  </si>
  <si>
    <t xml:space="preserve">DC winding loss at operating temperature of the VEE buck-boost output inductor </t>
  </si>
  <si>
    <t xml:space="preserve">AC winding loss at operating temperature of the VEE buck-boost output inductor </t>
  </si>
  <si>
    <t>Resistance in series with the inductance in an inductor equivalent circuit</t>
  </si>
  <si>
    <t>Resistance in parallell with the inductance in an inductor equivalent circuit</t>
  </si>
  <si>
    <t>determined by: 45kΩ/4.5V*(COM-VEE), where 45kΩ &amp; 4.5V is internal resistor &amp; reference voltage.</t>
  </si>
  <si>
    <t>Based on ambient temperature and self heating of the inductor</t>
  </si>
  <si>
    <t>Recommeded operating range: 15V ~ 20V</t>
  </si>
  <si>
    <t>Recommeded operating range: 2V ~ 8V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</si>
</sst>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0">
    <font>
      <sz val="11"/>
      <color theme="1"/>
      <name val="Calibri"/>
      <family val="2"/>
      <scheme val="minor"/>
    </font>
    <font>
      <sz val="11"/>
      <color theme="1"/>
      <name val="Calibri"/>
      <family val="2"/>
      <scheme val="minor"/>
    </font>
    <font>
      <sz val="11"/>
      <color theme="1"/>
      <name val="Calibri"/>
      <family val="2"/>
      <charset val="136"/>
      <scheme val="minor"/>
    </font>
    <font>
      <b/>
      <sz val="24"/>
      <color indexed="9"/>
      <name val="Arial"/>
      <family val="2"/>
    </font>
    <font>
      <b/>
      <sz val="12"/>
      <name val="Arial"/>
      <family val="2"/>
    </font>
    <font>
      <sz val="11"/>
      <color theme="1"/>
      <name val="Arial"/>
      <family val="2"/>
    </font>
    <font>
      <sz val="11"/>
      <color theme="0"/>
      <name val="Calibri"/>
      <family val="2"/>
      <charset val="136"/>
      <scheme val="minor"/>
    </font>
    <font>
      <b/>
      <sz val="16"/>
      <color theme="1"/>
      <name val="Arial"/>
      <family val="2"/>
    </font>
    <font>
      <b/>
      <sz val="14"/>
      <color rgb="FFFF0000"/>
      <name val="Arial"/>
      <family val="2"/>
    </font>
    <font>
      <b/>
      <sz val="14"/>
      <color theme="1"/>
      <name val="Arial"/>
      <family val="2"/>
    </font>
    <font>
      <b/>
      <sz val="14"/>
      <color rgb="FF92D050"/>
      <name val="Arial"/>
      <family val="2"/>
    </font>
    <font>
      <sz val="11"/>
      <name val="Arial"/>
      <family val="2"/>
    </font>
    <font>
      <sz val="11"/>
      <color rgb="FFFF00FF"/>
      <name val="Arial"/>
      <family val="2"/>
    </font>
    <font>
      <vertAlign val="subscript"/>
      <sz val="11"/>
      <name val="Arial"/>
      <family val="2"/>
    </font>
    <font>
      <b/>
      <i/>
      <sz val="11"/>
      <color rgb="FFFF0000"/>
      <name val="Arial"/>
      <family val="2"/>
    </font>
    <font>
      <b/>
      <sz val="11"/>
      <name val="Arial"/>
      <family val="2"/>
    </font>
    <font>
      <b/>
      <i/>
      <sz val="16"/>
      <color theme="1"/>
      <name val="Arial"/>
      <family val="2"/>
    </font>
    <font>
      <b/>
      <i/>
      <sz val="16"/>
      <name val="Arial"/>
      <family val="2"/>
    </font>
    <font>
      <b/>
      <sz val="14"/>
      <color rgb="FF0000FF"/>
      <name val="Arial"/>
      <family val="2"/>
    </font>
    <font>
      <b/>
      <i/>
      <sz val="14"/>
      <name val="Arial"/>
      <family val="2"/>
    </font>
    <font>
      <b/>
      <i/>
      <vertAlign val="subscript"/>
      <sz val="14"/>
      <name val="Arial"/>
      <family val="2"/>
    </font>
    <font>
      <sz val="14"/>
      <color rgb="FF000000"/>
      <name val="Calibri"/>
      <family val="2"/>
    </font>
    <font>
      <b/>
      <sz val="14"/>
      <color rgb="FF000000"/>
      <name val="Calibri"/>
      <family val="2"/>
    </font>
    <font>
      <b/>
      <vertAlign val="subscript"/>
      <sz val="14"/>
      <color rgb="FF000000"/>
      <name val="Calibri"/>
      <family val="2"/>
    </font>
    <font>
      <vertAlign val="subscript"/>
      <sz val="11"/>
      <color theme="1"/>
      <name val="Arial"/>
      <family val="2"/>
    </font>
    <font>
      <sz val="11"/>
      <color rgb="FFFF0000"/>
      <name val="Arial"/>
      <family val="2"/>
    </font>
    <font>
      <sz val="11"/>
      <color rgb="FFFF0000"/>
      <name val="Calibri"/>
      <family val="2"/>
      <charset val="136"/>
      <scheme val="minor"/>
    </font>
    <font>
      <b/>
      <sz val="15"/>
      <color theme="1"/>
      <name val="Calibri"/>
      <family val="2"/>
      <scheme val="minor"/>
    </font>
    <font>
      <b/>
      <sz val="11"/>
      <color theme="1"/>
      <name val="Calibri"/>
      <family val="2"/>
      <scheme val="minor"/>
    </font>
    <font>
      <sz val="11"/>
      <color rgb="FF0061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C6EFCE"/>
      </patternFill>
    </fill>
    <fill>
      <patternFill patternType="solid">
        <fgColor theme="6"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indexed="64"/>
      </right>
      <top style="thin">
        <color indexed="64"/>
      </top>
      <bottom/>
      <diagonal/>
    </border>
  </borders>
  <cellStyleXfs count="5">
    <xf numFmtId="0" fontId="0" fillId="0" borderId="0"/>
    <xf numFmtId="0" fontId="2" fillId="0" borderId="0">
      <alignment vertical="center"/>
    </xf>
    <xf numFmtId="0" fontId="1" fillId="0" borderId="0"/>
    <xf numFmtId="0" fontId="1" fillId="0" borderId="0"/>
    <xf numFmtId="0" fontId="29" fillId="8" borderId="0" applyNumberFormat="0" applyBorder="0" applyAlignment="0" applyProtection="0"/>
  </cellStyleXfs>
  <cellXfs count="168">
    <xf numFmtId="0" fontId="0" fillId="0" borderId="0" xfId="0"/>
    <xf numFmtId="0" fontId="2" fillId="0" borderId="0" xfId="1">
      <alignment vertical="center"/>
    </xf>
    <xf numFmtId="0" fontId="15" fillId="3" borderId="1" xfId="2" applyFont="1" applyFill="1" applyBorder="1" applyAlignment="1" applyProtection="1">
      <alignment horizontal="center" vertical="center"/>
      <protection locked="0"/>
    </xf>
    <xf numFmtId="0" fontId="15" fillId="3" borderId="16" xfId="2" applyFont="1" applyFill="1" applyBorder="1" applyAlignment="1" applyProtection="1">
      <alignment horizontal="center" vertical="center"/>
      <protection locked="0"/>
    </xf>
    <xf numFmtId="0" fontId="15" fillId="3" borderId="17" xfId="2" applyFont="1" applyFill="1" applyBorder="1" applyAlignment="1" applyProtection="1">
      <alignment horizontal="center" vertical="center"/>
      <protection locked="0"/>
    </xf>
    <xf numFmtId="2" fontId="2" fillId="0" borderId="0" xfId="1" applyNumberFormat="1">
      <alignment vertical="center"/>
    </xf>
    <xf numFmtId="0" fontId="2" fillId="0" borderId="0" xfId="1" applyProtection="1">
      <alignment vertical="center"/>
      <protection locked="0"/>
    </xf>
    <xf numFmtId="0" fontId="2" fillId="5" borderId="0" xfId="1" applyFill="1" applyProtection="1">
      <alignment vertical="center"/>
      <protection locked="0"/>
    </xf>
    <xf numFmtId="0" fontId="6" fillId="0" borderId="0" xfId="1" applyFont="1" applyProtection="1">
      <alignment vertical="center"/>
      <protection locked="0"/>
    </xf>
    <xf numFmtId="0" fontId="11" fillId="5" borderId="14" xfId="2" applyFont="1" applyFill="1" applyBorder="1" applyAlignment="1" applyProtection="1">
      <alignment vertical="center"/>
      <protection locked="0"/>
    </xf>
    <xf numFmtId="0" fontId="11" fillId="5" borderId="13" xfId="2" applyFont="1" applyFill="1" applyBorder="1" applyAlignment="1" applyProtection="1">
      <alignment vertical="center"/>
      <protection locked="0"/>
    </xf>
    <xf numFmtId="0" fontId="11" fillId="5" borderId="15" xfId="2" applyFont="1" applyFill="1" applyBorder="1" applyAlignment="1" applyProtection="1">
      <alignment vertical="center"/>
      <protection locked="0"/>
    </xf>
    <xf numFmtId="0" fontId="11" fillId="5" borderId="17" xfId="2" applyFont="1" applyFill="1" applyBorder="1" applyAlignment="1" applyProtection="1">
      <alignment vertical="center"/>
      <protection locked="0"/>
    </xf>
    <xf numFmtId="0" fontId="11" fillId="0" borderId="15" xfId="2" applyFont="1" applyBorder="1" applyAlignment="1" applyProtection="1">
      <alignment vertical="center"/>
      <protection locked="0"/>
    </xf>
    <xf numFmtId="0" fontId="11" fillId="5" borderId="20" xfId="2" applyFont="1" applyFill="1" applyBorder="1" applyAlignment="1" applyProtection="1">
      <alignment vertical="center"/>
      <protection locked="0"/>
    </xf>
    <xf numFmtId="0" fontId="5" fillId="5" borderId="0" xfId="2" applyFont="1" applyFill="1" applyAlignment="1" applyProtection="1">
      <alignment vertical="center"/>
      <protection locked="0"/>
    </xf>
    <xf numFmtId="0" fontId="14" fillId="5" borderId="0" xfId="2" applyFont="1" applyFill="1" applyAlignment="1" applyProtection="1">
      <alignment horizontal="left" vertical="center" wrapText="1"/>
      <protection locked="0"/>
    </xf>
    <xf numFmtId="2" fontId="2" fillId="0" borderId="0" xfId="1" applyNumberFormat="1" applyProtection="1">
      <alignment vertical="center"/>
      <protection locked="0"/>
    </xf>
    <xf numFmtId="0" fontId="11" fillId="0" borderId="15" xfId="2" applyFont="1" applyBorder="1" applyAlignment="1" applyProtection="1">
      <alignment vertical="center" wrapText="1"/>
      <protection locked="0"/>
    </xf>
    <xf numFmtId="0" fontId="11" fillId="5" borderId="17" xfId="2" applyFont="1" applyFill="1" applyBorder="1" applyAlignment="1" applyProtection="1">
      <alignment vertical="center" wrapText="1"/>
      <protection locked="0"/>
    </xf>
    <xf numFmtId="0" fontId="15" fillId="0" borderId="17" xfId="2" applyFont="1" applyBorder="1" applyAlignment="1">
      <alignment horizontal="center" vertical="center"/>
    </xf>
    <xf numFmtId="0" fontId="15" fillId="5" borderId="13" xfId="2" applyFont="1" applyFill="1" applyBorder="1" applyAlignment="1">
      <alignment horizontal="center" vertical="center"/>
    </xf>
    <xf numFmtId="0" fontId="15" fillId="5" borderId="18" xfId="2" applyFont="1" applyFill="1" applyBorder="1" applyAlignment="1">
      <alignment horizontal="center" vertical="center"/>
    </xf>
    <xf numFmtId="0" fontId="11" fillId="5" borderId="28" xfId="2" applyFont="1" applyFill="1" applyBorder="1" applyAlignment="1" applyProtection="1">
      <alignment horizontal="left" vertical="center"/>
      <protection locked="0"/>
    </xf>
    <xf numFmtId="0" fontId="11" fillId="5" borderId="28" xfId="2" applyFont="1" applyFill="1" applyBorder="1" applyAlignment="1" applyProtection="1">
      <alignment horizontal="left" vertical="center" wrapText="1"/>
      <protection locked="0"/>
    </xf>
    <xf numFmtId="0" fontId="11" fillId="0" borderId="19" xfId="2" applyFont="1" applyBorder="1" applyAlignment="1" applyProtection="1">
      <alignment vertical="center"/>
      <protection locked="0"/>
    </xf>
    <xf numFmtId="0" fontId="11" fillId="5" borderId="29" xfId="2" applyFont="1" applyFill="1" applyBorder="1" applyAlignment="1" applyProtection="1">
      <alignment horizontal="left" vertical="center" wrapText="1"/>
      <protection locked="0"/>
    </xf>
    <xf numFmtId="0" fontId="11" fillId="5" borderId="32" xfId="2" applyFont="1" applyFill="1" applyBorder="1" applyAlignment="1" applyProtection="1">
      <alignment horizontal="left" vertical="center"/>
      <protection locked="0"/>
    </xf>
    <xf numFmtId="0" fontId="11" fillId="5" borderId="32" xfId="2" applyFont="1" applyFill="1" applyBorder="1" applyAlignment="1" applyProtection="1">
      <alignment horizontal="left" vertical="center" wrapText="1"/>
      <protection locked="0"/>
    </xf>
    <xf numFmtId="2" fontId="2" fillId="0" borderId="0" xfId="1" quotePrefix="1" applyNumberFormat="1" applyProtection="1">
      <alignment vertical="center"/>
      <protection locked="0"/>
    </xf>
    <xf numFmtId="0" fontId="11" fillId="5" borderId="17" xfId="2" applyFont="1" applyFill="1" applyBorder="1" applyAlignment="1">
      <alignment vertical="center"/>
    </xf>
    <xf numFmtId="0" fontId="11" fillId="5" borderId="28" xfId="2" applyFont="1" applyFill="1" applyBorder="1" applyAlignment="1">
      <alignment horizontal="left" vertical="center" wrapText="1"/>
    </xf>
    <xf numFmtId="0" fontId="11" fillId="5" borderId="1" xfId="2" applyFont="1" applyFill="1" applyBorder="1" applyAlignment="1" applyProtection="1">
      <alignment vertical="center"/>
      <protection locked="0"/>
    </xf>
    <xf numFmtId="0" fontId="11" fillId="5" borderId="29" xfId="2" applyFont="1" applyFill="1" applyBorder="1" applyAlignment="1" applyProtection="1">
      <alignment horizontal="left" vertical="center"/>
      <protection locked="0"/>
    </xf>
    <xf numFmtId="0" fontId="11" fillId="5" borderId="21" xfId="2" applyFont="1" applyFill="1" applyBorder="1" applyAlignment="1" applyProtection="1">
      <alignment vertical="center"/>
      <protection locked="0"/>
    </xf>
    <xf numFmtId="164" fontId="15" fillId="3" borderId="22" xfId="2" applyNumberFormat="1" applyFont="1" applyFill="1" applyBorder="1" applyAlignment="1" applyProtection="1">
      <alignment horizontal="center" vertical="center"/>
      <protection locked="0"/>
    </xf>
    <xf numFmtId="0" fontId="11" fillId="5" borderId="23" xfId="2" applyFont="1" applyFill="1" applyBorder="1" applyAlignment="1" applyProtection="1">
      <alignment vertical="center"/>
      <protection locked="0"/>
    </xf>
    <xf numFmtId="0" fontId="11" fillId="5" borderId="21" xfId="2" applyFont="1" applyFill="1" applyBorder="1" applyAlignment="1">
      <alignment vertical="center"/>
    </xf>
    <xf numFmtId="0" fontId="11" fillId="5" borderId="23" xfId="2" applyFont="1" applyFill="1" applyBorder="1" applyAlignment="1">
      <alignment vertical="center"/>
    </xf>
    <xf numFmtId="164" fontId="15" fillId="3" borderId="26" xfId="2" applyNumberFormat="1" applyFont="1" applyFill="1" applyBorder="1" applyAlignment="1" applyProtection="1">
      <alignment horizontal="center" vertical="center"/>
      <protection locked="0"/>
    </xf>
    <xf numFmtId="0" fontId="2" fillId="0" borderId="31" xfId="1" applyBorder="1">
      <alignment vertical="center"/>
    </xf>
    <xf numFmtId="0" fontId="2" fillId="0" borderId="27" xfId="1" applyBorder="1">
      <alignment vertical="center"/>
    </xf>
    <xf numFmtId="0" fontId="5" fillId="0" borderId="30" xfId="1" applyFont="1" applyBorder="1">
      <alignment vertical="center"/>
    </xf>
    <xf numFmtId="0" fontId="15" fillId="5" borderId="35" xfId="2" applyFont="1" applyFill="1" applyBorder="1" applyAlignment="1">
      <alignment horizontal="center" vertical="center"/>
    </xf>
    <xf numFmtId="0" fontId="19" fillId="0" borderId="28" xfId="2" applyFont="1" applyBorder="1" applyAlignment="1" applyProtection="1">
      <alignment horizontal="left" vertical="center"/>
      <protection locked="0"/>
    </xf>
    <xf numFmtId="0" fontId="11" fillId="5" borderId="19" xfId="2" applyFont="1" applyFill="1" applyBorder="1" applyAlignment="1" applyProtection="1">
      <alignment vertical="center"/>
      <protection locked="0"/>
    </xf>
    <xf numFmtId="165" fontId="15" fillId="5" borderId="17" xfId="2" applyNumberFormat="1" applyFont="1" applyFill="1" applyBorder="1" applyAlignment="1">
      <alignment horizontal="center" vertical="center"/>
    </xf>
    <xf numFmtId="165" fontId="15" fillId="5" borderId="25" xfId="2" applyNumberFormat="1" applyFont="1" applyFill="1" applyBorder="1" applyAlignment="1">
      <alignment horizontal="center" vertical="center"/>
    </xf>
    <xf numFmtId="0" fontId="11" fillId="5" borderId="33" xfId="2" applyFont="1" applyFill="1" applyBorder="1" applyAlignment="1" applyProtection="1">
      <alignment vertical="center" wrapText="1"/>
      <protection locked="0"/>
    </xf>
    <xf numFmtId="0" fontId="15" fillId="5" borderId="36" xfId="2" applyFont="1" applyFill="1" applyBorder="1" applyAlignment="1">
      <alignment horizontal="center" vertical="center"/>
    </xf>
    <xf numFmtId="0" fontId="11" fillId="5" borderId="22" xfId="2" applyFont="1" applyFill="1" applyBorder="1" applyAlignment="1" applyProtection="1">
      <alignment vertical="center"/>
      <protection locked="0"/>
    </xf>
    <xf numFmtId="1" fontId="15" fillId="0" borderId="17" xfId="2" applyNumberFormat="1" applyFont="1" applyBorder="1" applyAlignment="1">
      <alignment horizontal="center" vertical="center"/>
    </xf>
    <xf numFmtId="164" fontId="15" fillId="0" borderId="17" xfId="2" applyNumberFormat="1" applyFont="1" applyBorder="1" applyAlignment="1">
      <alignment horizontal="center" vertical="center"/>
    </xf>
    <xf numFmtId="165" fontId="15" fillId="0" borderId="17" xfId="2" applyNumberFormat="1" applyFont="1" applyBorder="1" applyAlignment="1">
      <alignment horizontal="center" vertical="center"/>
    </xf>
    <xf numFmtId="0" fontId="21" fillId="0" borderId="37" xfId="0" applyFont="1" applyBorder="1" applyAlignment="1">
      <alignment horizontal="center" vertical="center" wrapText="1" readingOrder="1"/>
    </xf>
    <xf numFmtId="164" fontId="21" fillId="0" borderId="37" xfId="0" applyNumberFormat="1" applyFont="1" applyBorder="1" applyAlignment="1">
      <alignment horizontal="center" vertical="center" wrapText="1" readingOrder="1"/>
    </xf>
    <xf numFmtId="1" fontId="21" fillId="0" borderId="37" xfId="0" applyNumberFormat="1" applyFont="1" applyBorder="1" applyAlignment="1">
      <alignment horizontal="center" vertical="center" wrapText="1" readingOrder="1"/>
    </xf>
    <xf numFmtId="0" fontId="22" fillId="7" borderId="37" xfId="0" applyFont="1" applyFill="1" applyBorder="1" applyAlignment="1">
      <alignment horizontal="center" vertical="center" wrapText="1" readingOrder="1"/>
    </xf>
    <xf numFmtId="0" fontId="22" fillId="0" borderId="37" xfId="0" applyFont="1" applyBorder="1" applyAlignment="1">
      <alignment horizontal="center" vertical="center" wrapText="1" readingOrder="1"/>
    </xf>
    <xf numFmtId="0" fontId="5" fillId="0" borderId="11" xfId="1" applyFont="1" applyBorder="1">
      <alignment vertical="center"/>
    </xf>
    <xf numFmtId="0" fontId="5" fillId="0" borderId="38" xfId="1" applyFont="1" applyBorder="1">
      <alignment vertical="center"/>
    </xf>
    <xf numFmtId="0" fontId="2" fillId="0" borderId="29" xfId="1" applyBorder="1">
      <alignment vertical="center"/>
    </xf>
    <xf numFmtId="0" fontId="11" fillId="0" borderId="39" xfId="2" applyFont="1" applyBorder="1" applyAlignment="1" applyProtection="1">
      <alignment vertical="center" wrapText="1"/>
      <protection locked="0"/>
    </xf>
    <xf numFmtId="0" fontId="11" fillId="5" borderId="40" xfId="2" applyFont="1" applyFill="1" applyBorder="1" applyAlignment="1" applyProtection="1">
      <alignment vertical="center"/>
      <protection locked="0"/>
    </xf>
    <xf numFmtId="0" fontId="11" fillId="5" borderId="13" xfId="2" applyFont="1" applyFill="1" applyBorder="1" applyAlignment="1">
      <alignment vertical="center"/>
    </xf>
    <xf numFmtId="0" fontId="11" fillId="5" borderId="29" xfId="2" applyFont="1" applyFill="1" applyBorder="1" applyAlignment="1">
      <alignment horizontal="left" vertical="center" wrapText="1"/>
    </xf>
    <xf numFmtId="0" fontId="11" fillId="5" borderId="25" xfId="2" applyFont="1" applyFill="1" applyBorder="1" applyAlignment="1">
      <alignment vertical="center"/>
    </xf>
    <xf numFmtId="164" fontId="15" fillId="5" borderId="36" xfId="2" applyNumberFormat="1" applyFont="1" applyFill="1" applyBorder="1" applyAlignment="1">
      <alignment horizontal="center" vertical="center"/>
    </xf>
    <xf numFmtId="0" fontId="11" fillId="5" borderId="42" xfId="2" applyFont="1" applyFill="1" applyBorder="1" applyAlignment="1" applyProtection="1">
      <alignment vertical="center"/>
      <protection locked="0"/>
    </xf>
    <xf numFmtId="164" fontId="15" fillId="3" borderId="43" xfId="2" applyNumberFormat="1" applyFont="1" applyFill="1" applyBorder="1" applyAlignment="1" applyProtection="1">
      <alignment horizontal="center" vertical="center"/>
      <protection locked="0"/>
    </xf>
    <xf numFmtId="0" fontId="2" fillId="0" borderId="43" xfId="1" applyBorder="1">
      <alignment vertical="center"/>
    </xf>
    <xf numFmtId="0" fontId="2" fillId="0" borderId="44" xfId="1" applyBorder="1">
      <alignment vertical="center"/>
    </xf>
    <xf numFmtId="0" fontId="5" fillId="0" borderId="45" xfId="1" applyFont="1" applyBorder="1">
      <alignment vertical="center"/>
    </xf>
    <xf numFmtId="164" fontId="15" fillId="3" borderId="1" xfId="2" applyNumberFormat="1" applyFont="1" applyFill="1" applyBorder="1" applyAlignment="1" applyProtection="1">
      <alignment horizontal="center" vertical="center"/>
      <protection locked="0"/>
    </xf>
    <xf numFmtId="0" fontId="2" fillId="0" borderId="41" xfId="1" applyBorder="1">
      <alignment vertical="center"/>
    </xf>
    <xf numFmtId="0" fontId="2" fillId="0" borderId="28" xfId="1" applyBorder="1">
      <alignment vertical="center"/>
    </xf>
    <xf numFmtId="0" fontId="2" fillId="0" borderId="1" xfId="1" applyBorder="1">
      <alignment vertical="center"/>
    </xf>
    <xf numFmtId="164" fontId="15" fillId="5" borderId="35" xfId="2" applyNumberFormat="1" applyFont="1" applyFill="1" applyBorder="1" applyAlignment="1">
      <alignment horizontal="center" vertical="center"/>
    </xf>
    <xf numFmtId="0" fontId="11" fillId="0" borderId="16" xfId="2" applyFont="1" applyBorder="1" applyAlignment="1">
      <alignment horizontal="center" vertical="center" wrapText="1"/>
    </xf>
    <xf numFmtId="0" fontId="11" fillId="0" borderId="25" xfId="2" applyFont="1" applyBorder="1" applyAlignment="1">
      <alignment horizontal="center" vertical="center" wrapText="1"/>
    </xf>
    <xf numFmtId="0" fontId="25" fillId="5" borderId="28" xfId="2" applyFont="1" applyFill="1" applyBorder="1" applyAlignment="1">
      <alignment horizontal="left" vertical="center" wrapText="1"/>
    </xf>
    <xf numFmtId="0" fontId="26" fillId="0" borderId="0" xfId="1" applyFont="1">
      <alignment vertical="center"/>
    </xf>
    <xf numFmtId="0" fontId="26" fillId="0" borderId="0" xfId="1" applyFont="1" applyAlignment="1">
      <alignment horizontal="left" vertical="center"/>
    </xf>
    <xf numFmtId="164" fontId="15" fillId="3" borderId="46" xfId="2" applyNumberFormat="1" applyFont="1" applyFill="1" applyBorder="1" applyAlignment="1">
      <alignment horizontal="center" vertical="center"/>
    </xf>
    <xf numFmtId="165" fontId="11" fillId="0" borderId="26" xfId="2" applyNumberFormat="1" applyFont="1" applyBorder="1" applyAlignment="1">
      <alignment horizontal="center" vertical="center" wrapText="1"/>
    </xf>
    <xf numFmtId="165" fontId="11" fillId="0" borderId="1" xfId="2" applyNumberFormat="1" applyFont="1" applyBorder="1" applyAlignment="1">
      <alignment horizontal="center" vertical="center" wrapText="1"/>
    </xf>
    <xf numFmtId="165" fontId="11" fillId="0" borderId="43" xfId="2" applyNumberFormat="1" applyFont="1" applyBorder="1" applyAlignment="1">
      <alignment horizontal="center" vertical="center" wrapText="1"/>
    </xf>
    <xf numFmtId="0" fontId="2" fillId="0" borderId="44" xfId="1" applyBorder="1" applyAlignment="1">
      <alignment vertical="center" wrapText="1"/>
    </xf>
    <xf numFmtId="164" fontId="15" fillId="3" borderId="36" xfId="2" applyNumberFormat="1" applyFont="1" applyFill="1" applyBorder="1" applyAlignment="1">
      <alignment horizontal="center" vertical="center"/>
    </xf>
    <xf numFmtId="0" fontId="11" fillId="5" borderId="47" xfId="2" applyFont="1" applyFill="1" applyBorder="1" applyAlignment="1" applyProtection="1">
      <alignment vertical="center"/>
      <protection locked="0"/>
    </xf>
    <xf numFmtId="0" fontId="15" fillId="5" borderId="48" xfId="2" applyFont="1" applyFill="1" applyBorder="1" applyAlignment="1">
      <alignment horizontal="center" vertical="center"/>
    </xf>
    <xf numFmtId="0" fontId="11" fillId="5" borderId="49" xfId="2" applyFont="1" applyFill="1" applyBorder="1" applyAlignment="1" applyProtection="1">
      <alignment vertical="center"/>
      <protection locked="0"/>
    </xf>
    <xf numFmtId="0" fontId="11" fillId="5" borderId="44" xfId="2" applyFont="1" applyFill="1" applyBorder="1" applyAlignment="1" applyProtection="1">
      <alignment vertical="center"/>
      <protection locked="0"/>
    </xf>
    <xf numFmtId="0" fontId="11" fillId="5" borderId="28" xfId="2" applyFont="1" applyFill="1" applyBorder="1" applyAlignment="1" applyProtection="1">
      <alignment vertical="center"/>
      <protection locked="0"/>
    </xf>
    <xf numFmtId="1" fontId="2" fillId="0" borderId="0" xfId="1" applyNumberFormat="1">
      <alignment vertical="center"/>
    </xf>
    <xf numFmtId="2" fontId="2" fillId="0" borderId="0" xfId="1" applyNumberFormat="1" applyAlignment="1" applyProtection="1">
      <alignment vertical="center" wrapText="1"/>
      <protection locked="0"/>
    </xf>
    <xf numFmtId="0" fontId="11" fillId="5" borderId="29" xfId="2" applyFont="1" applyFill="1" applyBorder="1" applyAlignment="1" applyProtection="1">
      <alignment vertical="center"/>
      <protection locked="0"/>
    </xf>
    <xf numFmtId="1" fontId="15" fillId="5" borderId="35" xfId="2" applyNumberFormat="1" applyFont="1" applyFill="1" applyBorder="1" applyAlignment="1">
      <alignment horizontal="center" vertical="center"/>
    </xf>
    <xf numFmtId="0" fontId="11" fillId="5" borderId="20" xfId="2" applyFont="1" applyFill="1" applyBorder="1" applyAlignment="1">
      <alignment vertical="center"/>
    </xf>
    <xf numFmtId="164" fontId="15" fillId="0" borderId="13" xfId="2" applyNumberFormat="1" applyFont="1" applyBorder="1" applyAlignment="1">
      <alignment horizontal="center" vertical="center"/>
    </xf>
    <xf numFmtId="0" fontId="15" fillId="0" borderId="13" xfId="2" applyFont="1" applyBorder="1" applyAlignment="1">
      <alignment horizontal="center" vertical="center"/>
    </xf>
    <xf numFmtId="0" fontId="11" fillId="5" borderId="50" xfId="2" applyFont="1" applyFill="1" applyBorder="1" applyAlignment="1" applyProtection="1">
      <alignment vertical="center"/>
      <protection locked="0"/>
    </xf>
    <xf numFmtId="0" fontId="2" fillId="0" borderId="33" xfId="1" applyBorder="1">
      <alignment vertical="center"/>
    </xf>
    <xf numFmtId="164" fontId="15" fillId="5" borderId="18" xfId="2" applyNumberFormat="1" applyFont="1" applyFill="1" applyBorder="1" applyAlignment="1">
      <alignment horizontal="center" vertical="center"/>
    </xf>
    <xf numFmtId="0" fontId="27" fillId="0" borderId="0" xfId="1" applyFont="1" applyProtection="1">
      <alignment vertical="center"/>
      <protection locked="0"/>
    </xf>
    <xf numFmtId="0" fontId="11" fillId="0" borderId="10" xfId="2" applyFont="1" applyBorder="1" applyAlignment="1" applyProtection="1">
      <alignment vertical="center" wrapText="1"/>
      <protection locked="0"/>
    </xf>
    <xf numFmtId="0" fontId="11" fillId="5" borderId="51" xfId="2" applyFont="1" applyFill="1" applyBorder="1" applyAlignment="1" applyProtection="1">
      <alignment horizontal="left" vertical="center" wrapText="1"/>
      <protection locked="0"/>
    </xf>
    <xf numFmtId="0" fontId="11" fillId="0" borderId="14" xfId="2" applyFont="1" applyBorder="1" applyAlignment="1" applyProtection="1">
      <alignment vertical="center" wrapText="1"/>
      <protection locked="0"/>
    </xf>
    <xf numFmtId="164" fontId="15" fillId="0" borderId="25" xfId="2" applyNumberFormat="1" applyFont="1" applyBorder="1" applyAlignment="1">
      <alignment horizontal="center" vertical="center"/>
    </xf>
    <xf numFmtId="0" fontId="15" fillId="3" borderId="13" xfId="2" applyFont="1" applyFill="1" applyBorder="1" applyAlignment="1" applyProtection="1">
      <alignment horizontal="center" vertical="center"/>
      <protection locked="0"/>
    </xf>
    <xf numFmtId="0" fontId="11" fillId="5" borderId="43" xfId="2" applyFont="1" applyFill="1" applyBorder="1" applyAlignment="1" applyProtection="1">
      <alignment vertical="center"/>
      <protection locked="0"/>
    </xf>
    <xf numFmtId="0" fontId="11" fillId="0" borderId="47" xfId="2" applyFont="1" applyBorder="1" applyAlignment="1" applyProtection="1">
      <alignment vertical="center" wrapText="1"/>
      <protection locked="0"/>
    </xf>
    <xf numFmtId="1" fontId="15" fillId="3" borderId="49" xfId="2" applyNumberFormat="1" applyFont="1" applyFill="1" applyBorder="1" applyAlignment="1" applyProtection="1">
      <alignment horizontal="center" vertical="center"/>
      <protection locked="0"/>
    </xf>
    <xf numFmtId="0" fontId="21" fillId="0" borderId="52" xfId="0" applyFont="1" applyBorder="1" applyAlignment="1">
      <alignment horizontal="center" vertical="center" wrapText="1" readingOrder="1"/>
    </xf>
    <xf numFmtId="0" fontId="22" fillId="0" borderId="53" xfId="0" applyFont="1" applyBorder="1" applyAlignment="1">
      <alignment horizontal="center" vertical="center" wrapText="1" readingOrder="1"/>
    </xf>
    <xf numFmtId="0" fontId="22" fillId="0" borderId="54" xfId="0" applyFont="1" applyBorder="1" applyAlignment="1">
      <alignment horizontal="center" vertical="center" wrapText="1" readingOrder="1"/>
    </xf>
    <xf numFmtId="0" fontId="28" fillId="0" borderId="0" xfId="1" applyFont="1" applyProtection="1">
      <alignment vertical="center"/>
      <protection locked="0"/>
    </xf>
    <xf numFmtId="2" fontId="15" fillId="0" borderId="17" xfId="2" applyNumberFormat="1" applyFont="1" applyBorder="1" applyAlignment="1">
      <alignment horizontal="center" vertical="center"/>
    </xf>
    <xf numFmtId="0" fontId="11" fillId="9" borderId="14" xfId="4" applyFont="1" applyFill="1" applyBorder="1" applyAlignment="1" applyProtection="1">
      <alignment vertical="center"/>
      <protection locked="0"/>
    </xf>
    <xf numFmtId="2" fontId="15" fillId="5" borderId="17" xfId="2" applyNumberFormat="1" applyFont="1" applyFill="1" applyBorder="1" applyAlignment="1">
      <alignment horizontal="center" vertical="center"/>
    </xf>
    <xf numFmtId="0" fontId="11" fillId="9" borderId="55" xfId="4" applyFont="1" applyFill="1" applyBorder="1" applyAlignment="1" applyProtection="1">
      <alignment horizontal="center" vertical="center" textRotation="90"/>
      <protection locked="0"/>
    </xf>
    <xf numFmtId="0" fontId="11" fillId="9" borderId="5" xfId="4" applyFont="1" applyFill="1" applyBorder="1" applyAlignment="1" applyProtection="1">
      <alignment horizontal="center" vertical="center" textRotation="90"/>
      <protection locked="0"/>
    </xf>
    <xf numFmtId="0" fontId="11" fillId="9" borderId="51" xfId="4" applyFont="1" applyFill="1" applyBorder="1" applyAlignment="1" applyProtection="1">
      <alignment horizontal="center" vertical="center" textRotation="90"/>
      <protection locked="0"/>
    </xf>
    <xf numFmtId="0" fontId="22" fillId="0" borderId="16" xfId="0" applyFont="1" applyBorder="1" applyAlignment="1">
      <alignment horizontal="center" vertical="center" wrapText="1" readingOrder="1"/>
    </xf>
    <xf numFmtId="0" fontId="22" fillId="0" borderId="22" xfId="0" applyFont="1" applyBorder="1" applyAlignment="1">
      <alignment horizontal="center" vertical="center" wrapText="1" readingOrder="1"/>
    </xf>
    <xf numFmtId="0" fontId="22" fillId="0" borderId="53" xfId="0" applyFont="1" applyBorder="1" applyAlignment="1">
      <alignment horizontal="center" vertical="center" wrapText="1" readingOrder="1"/>
    </xf>
    <xf numFmtId="0" fontId="22" fillId="0" borderId="54" xfId="0" applyFont="1" applyBorder="1" applyAlignment="1">
      <alignment horizontal="center" vertical="center" wrapText="1" readingOrder="1"/>
    </xf>
    <xf numFmtId="0" fontId="11" fillId="0" borderId="32" xfId="2" applyFont="1" applyBorder="1" applyAlignment="1" applyProtection="1">
      <alignment horizontal="left" vertical="center" wrapText="1"/>
      <protection locked="0"/>
    </xf>
    <xf numFmtId="0" fontId="11" fillId="0" borderId="33" xfId="2" applyFont="1" applyBorder="1" applyAlignment="1" applyProtection="1">
      <alignment horizontal="left" vertical="center" wrapText="1"/>
      <protection locked="0"/>
    </xf>
    <xf numFmtId="0" fontId="3" fillId="4" borderId="0" xfId="2" applyFont="1" applyFill="1" applyAlignment="1" applyProtection="1">
      <alignment horizontal="center" vertical="center" wrapText="1"/>
      <protection locked="0"/>
    </xf>
    <xf numFmtId="0" fontId="4" fillId="5" borderId="7" xfId="2" applyFont="1" applyFill="1" applyBorder="1" applyAlignment="1" applyProtection="1">
      <alignment horizontal="left" vertical="center"/>
      <protection locked="0"/>
    </xf>
    <xf numFmtId="0" fontId="4" fillId="5" borderId="8" xfId="2" applyFont="1" applyFill="1" applyBorder="1" applyAlignment="1" applyProtection="1">
      <alignment horizontal="left" vertical="center"/>
      <protection locked="0"/>
    </xf>
    <xf numFmtId="0" fontId="4" fillId="5" borderId="9" xfId="2" applyFont="1" applyFill="1" applyBorder="1" applyAlignment="1" applyProtection="1">
      <alignment horizontal="left" vertical="center"/>
      <protection locked="0"/>
    </xf>
    <xf numFmtId="0" fontId="5" fillId="5" borderId="10" xfId="2" applyFont="1" applyFill="1" applyBorder="1" applyAlignment="1" applyProtection="1">
      <alignment horizontal="center" vertical="center" wrapText="1"/>
      <protection locked="0"/>
    </xf>
    <xf numFmtId="0" fontId="5" fillId="5" borderId="0" xfId="2" applyFont="1" applyFill="1" applyAlignment="1" applyProtection="1">
      <alignment horizontal="center" vertical="center" wrapText="1"/>
      <protection locked="0"/>
    </xf>
    <xf numFmtId="0" fontId="5" fillId="5" borderId="5" xfId="2" applyFont="1" applyFill="1" applyBorder="1" applyAlignment="1" applyProtection="1">
      <alignment horizontal="center" vertical="center" wrapText="1"/>
      <protection locked="0"/>
    </xf>
    <xf numFmtId="0" fontId="5" fillId="5" borderId="11" xfId="2" applyFont="1" applyFill="1" applyBorder="1" applyAlignment="1" applyProtection="1">
      <alignment horizontal="center" vertical="center" wrapText="1"/>
      <protection locked="0"/>
    </xf>
    <xf numFmtId="0" fontId="5" fillId="5" borderId="12" xfId="2" applyFont="1" applyFill="1" applyBorder="1" applyAlignment="1" applyProtection="1">
      <alignment horizontal="center" vertical="center" wrapText="1"/>
      <protection locked="0"/>
    </xf>
    <xf numFmtId="0" fontId="5" fillId="5" borderId="4" xfId="2" applyFont="1" applyFill="1" applyBorder="1" applyAlignment="1" applyProtection="1">
      <alignment horizontal="center" vertical="center" wrapText="1"/>
      <protection locked="0"/>
    </xf>
    <xf numFmtId="0" fontId="7" fillId="5" borderId="7" xfId="2" applyFont="1" applyFill="1" applyBorder="1" applyAlignment="1" applyProtection="1">
      <alignment horizontal="center" vertical="center" wrapText="1"/>
      <protection locked="0"/>
    </xf>
    <xf numFmtId="0" fontId="7" fillId="5" borderId="8" xfId="2" applyFont="1" applyFill="1" applyBorder="1" applyAlignment="1" applyProtection="1">
      <alignment horizontal="center" vertical="center" wrapText="1"/>
      <protection locked="0"/>
    </xf>
    <xf numFmtId="0" fontId="7" fillId="5" borderId="9" xfId="2" applyFont="1" applyFill="1" applyBorder="1" applyAlignment="1" applyProtection="1">
      <alignment horizontal="center" vertical="center" wrapText="1"/>
      <protection locked="0"/>
    </xf>
    <xf numFmtId="0" fontId="18" fillId="5" borderId="10" xfId="2" applyFont="1" applyFill="1" applyBorder="1" applyAlignment="1" applyProtection="1">
      <alignment horizontal="center" vertical="center"/>
      <protection locked="0"/>
    </xf>
    <xf numFmtId="0" fontId="8" fillId="5" borderId="0" xfId="2" applyFont="1" applyFill="1" applyAlignment="1" applyProtection="1">
      <alignment horizontal="center" vertical="center"/>
      <protection locked="0"/>
    </xf>
    <xf numFmtId="0" fontId="8" fillId="5" borderId="5" xfId="2" applyFont="1" applyFill="1" applyBorder="1" applyAlignment="1" applyProtection="1">
      <alignment horizontal="center" vertical="center"/>
      <protection locked="0"/>
    </xf>
    <xf numFmtId="0" fontId="11" fillId="5" borderId="2" xfId="2" applyFont="1" applyFill="1" applyBorder="1" applyAlignment="1" applyProtection="1">
      <alignment horizontal="center" vertical="center" wrapText="1"/>
      <protection locked="0"/>
    </xf>
    <xf numFmtId="0" fontId="11" fillId="5" borderId="6" xfId="2" applyFont="1" applyFill="1" applyBorder="1" applyAlignment="1" applyProtection="1">
      <alignment horizontal="center" vertical="center" wrapText="1"/>
      <protection locked="0"/>
    </xf>
    <xf numFmtId="0" fontId="11" fillId="5" borderId="3"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protection locked="0"/>
    </xf>
    <xf numFmtId="0" fontId="17" fillId="2" borderId="8" xfId="2" applyFont="1" applyFill="1" applyBorder="1" applyAlignment="1" applyProtection="1">
      <alignment horizontal="center" vertical="center"/>
      <protection locked="0"/>
    </xf>
    <xf numFmtId="0" fontId="17" fillId="2" borderId="9" xfId="2" applyFont="1" applyFill="1" applyBorder="1" applyAlignment="1" applyProtection="1">
      <alignment horizontal="center" vertical="center"/>
      <protection locked="0"/>
    </xf>
    <xf numFmtId="0" fontId="17" fillId="2" borderId="11" xfId="2" applyFont="1" applyFill="1" applyBorder="1" applyAlignment="1" applyProtection="1">
      <alignment horizontal="center" vertical="center"/>
      <protection locked="0"/>
    </xf>
    <xf numFmtId="0" fontId="17" fillId="2" borderId="12" xfId="2" applyFont="1" applyFill="1" applyBorder="1" applyAlignment="1" applyProtection="1">
      <alignment horizontal="center" vertical="center"/>
      <protection locked="0"/>
    </xf>
    <xf numFmtId="0" fontId="17" fillId="2" borderId="4" xfId="2" applyFont="1" applyFill="1" applyBorder="1" applyAlignment="1" applyProtection="1">
      <alignment horizontal="center" vertical="center"/>
      <protection locked="0"/>
    </xf>
    <xf numFmtId="0" fontId="16" fillId="2" borderId="7" xfId="2" applyFont="1" applyFill="1" applyBorder="1" applyAlignment="1" applyProtection="1">
      <alignment horizontal="center" vertical="center"/>
      <protection locked="0"/>
    </xf>
    <xf numFmtId="0" fontId="16" fillId="2" borderId="8" xfId="2" applyFont="1" applyFill="1" applyBorder="1" applyAlignment="1" applyProtection="1">
      <alignment horizontal="center" vertical="center"/>
      <protection locked="0"/>
    </xf>
    <xf numFmtId="0" fontId="16" fillId="2" borderId="9" xfId="2" applyFont="1" applyFill="1" applyBorder="1" applyAlignment="1" applyProtection="1">
      <alignment horizontal="center" vertical="center"/>
      <protection locked="0"/>
    </xf>
    <xf numFmtId="0" fontId="16" fillId="2" borderId="11" xfId="2" applyFont="1" applyFill="1" applyBorder="1" applyAlignment="1" applyProtection="1">
      <alignment horizontal="center" vertical="center"/>
      <protection locked="0"/>
    </xf>
    <xf numFmtId="0" fontId="16" fillId="2" borderId="12"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protection locked="0"/>
    </xf>
    <xf numFmtId="0" fontId="19" fillId="6" borderId="30" xfId="2" applyFont="1" applyFill="1" applyBorder="1" applyAlignment="1" applyProtection="1">
      <alignment horizontal="left" vertical="center"/>
      <protection locked="0"/>
    </xf>
    <xf numFmtId="0" fontId="19" fillId="6" borderId="31" xfId="2" applyFont="1" applyFill="1" applyBorder="1" applyAlignment="1" applyProtection="1">
      <alignment horizontal="left" vertical="center"/>
      <protection locked="0"/>
    </xf>
    <xf numFmtId="0" fontId="19" fillId="6" borderId="24" xfId="2" applyFont="1" applyFill="1" applyBorder="1" applyAlignment="1" applyProtection="1">
      <alignment horizontal="left" vertical="center"/>
      <protection locked="0"/>
    </xf>
    <xf numFmtId="0" fontId="9" fillId="5" borderId="11" xfId="2" applyFont="1" applyFill="1" applyBorder="1" applyAlignment="1" applyProtection="1">
      <alignment horizontal="center" vertical="center"/>
      <protection locked="0"/>
    </xf>
    <xf numFmtId="0" fontId="9" fillId="5" borderId="12" xfId="2" applyFont="1" applyFill="1" applyBorder="1" applyAlignment="1" applyProtection="1">
      <alignment horizontal="center" vertical="center"/>
      <protection locked="0"/>
    </xf>
    <xf numFmtId="0" fontId="9" fillId="5" borderId="4" xfId="2" applyFont="1" applyFill="1" applyBorder="1" applyAlignment="1" applyProtection="1">
      <alignment horizontal="center" vertical="center"/>
      <protection locked="0"/>
    </xf>
    <xf numFmtId="0" fontId="19" fillId="6" borderId="9" xfId="2" applyFont="1" applyFill="1" applyBorder="1" applyAlignment="1" applyProtection="1">
      <alignment horizontal="left" vertical="center"/>
      <protection locked="0"/>
    </xf>
    <xf numFmtId="0" fontId="11" fillId="0" borderId="34" xfId="2" applyFont="1" applyBorder="1" applyAlignment="1" applyProtection="1">
      <alignment horizontal="left" vertical="center" wrapText="1"/>
      <protection locked="0"/>
    </xf>
  </cellXfs>
  <cellStyles count="5">
    <cellStyle name="Good" xfId="4" builtinId="26"/>
    <cellStyle name="Normal" xfId="0" builtinId="0"/>
    <cellStyle name="Normal 2" xfId="1" xr:uid="{00000000-0005-0000-0000-000001000000}"/>
    <cellStyle name="Normal 2 2" xfId="2" xr:uid="{00000000-0005-0000-0000-000002000000}"/>
    <cellStyle name="Normal 5" xfId="3" xr:uid="{00000000-0005-0000-0000-000003000000}"/>
  </cellStyles>
  <dxfs count="28">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990600</xdr:colOff>
          <xdr:row>6</xdr:row>
          <xdr:rowOff>114300</xdr:rowOff>
        </xdr:from>
        <xdr:to>
          <xdr:col>19</xdr:col>
          <xdr:colOff>76200</xdr:colOff>
          <xdr:row>24</xdr:row>
          <xdr:rowOff>257175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1123950</xdr:colOff>
          <xdr:row>6</xdr:row>
          <xdr:rowOff>114300</xdr:rowOff>
        </xdr:from>
        <xdr:to>
          <xdr:col>17</xdr:col>
          <xdr:colOff>561975</xdr:colOff>
          <xdr:row>22</xdr:row>
          <xdr:rowOff>209550</xdr:rowOff>
        </xdr:to>
        <xdr:sp macro="" textlink="">
          <xdr:nvSpPr>
            <xdr:cNvPr id="3077" name="Object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489857</xdr:colOff>
      <xdr:row>7</xdr:row>
      <xdr:rowOff>201635</xdr:rowOff>
    </xdr:from>
    <xdr:to>
      <xdr:col>18</xdr:col>
      <xdr:colOff>421822</xdr:colOff>
      <xdr:row>33</xdr:row>
      <xdr:rowOff>209985</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16301357" y="1888921"/>
          <a:ext cx="10423072" cy="61587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226006/AppData/Local/Microsoft/Windows/INetCache/Content.Outlook/2ZJX7BWR/project-acdc/Project-%20UCC28782/EVM/65W%20Si/sluc664b_ucc28782_65W_for_782_1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Here"/>
      <sheetName val="Main Calculation"/>
      <sheetName val="Schematic &amp; BoM"/>
      <sheetName val="Secondary Resonance"/>
      <sheetName val="Boost"/>
      <sheetName val="BUR"/>
      <sheetName val="FLT"/>
      <sheetName val="IPC"/>
      <sheetName val="S13"/>
      <sheetName val="XCD"/>
      <sheetName val="OPP"/>
      <sheetName val="2nd Resonance org"/>
      <sheetName val="Burst Mode for USB-PD"/>
      <sheetName val="Hide Calculate"/>
      <sheetName val="RTZ RDM RCS"/>
    </sheetNames>
    <sheetDataSet>
      <sheetData sheetId="0"/>
      <sheetData sheetId="1">
        <row r="3">
          <cell r="D3">
            <v>11</v>
          </cell>
        </row>
        <row r="4">
          <cell r="D4">
            <v>17.5</v>
          </cell>
        </row>
        <row r="5">
          <cell r="D5">
            <v>34</v>
          </cell>
        </row>
        <row r="6">
          <cell r="D6">
            <v>2.2000000000000002</v>
          </cell>
        </row>
        <row r="7">
          <cell r="D7">
            <v>365</v>
          </cell>
        </row>
        <row r="8">
          <cell r="D8">
            <v>4.5</v>
          </cell>
        </row>
        <row r="9">
          <cell r="D9">
            <v>25</v>
          </cell>
        </row>
        <row r="10">
          <cell r="D10">
            <v>0.8</v>
          </cell>
        </row>
        <row r="11">
          <cell r="D11">
            <v>0.6</v>
          </cell>
        </row>
        <row r="12">
          <cell r="D12">
            <v>0.42499999999999999</v>
          </cell>
        </row>
        <row r="13">
          <cell r="D13">
            <v>5</v>
          </cell>
        </row>
        <row r="14">
          <cell r="D14">
            <v>0.25</v>
          </cell>
        </row>
        <row r="15">
          <cell r="D15">
            <v>25</v>
          </cell>
        </row>
        <row r="16">
          <cell r="D16">
            <v>5000000000</v>
          </cell>
        </row>
        <row r="17">
          <cell r="D17">
            <v>4</v>
          </cell>
        </row>
        <row r="18">
          <cell r="D18">
            <v>13</v>
          </cell>
        </row>
        <row r="19">
          <cell r="D19">
            <v>2.4</v>
          </cell>
        </row>
        <row r="20">
          <cell r="D20">
            <v>0.65</v>
          </cell>
        </row>
        <row r="21">
          <cell r="D21">
            <v>2.2000000000000002</v>
          </cell>
        </row>
        <row r="22">
          <cell r="D22">
            <v>1900000</v>
          </cell>
        </row>
        <row r="23">
          <cell r="D23">
            <v>1</v>
          </cell>
        </row>
        <row r="24">
          <cell r="D24">
            <v>4.3</v>
          </cell>
        </row>
        <row r="25">
          <cell r="D25">
            <v>8000</v>
          </cell>
        </row>
        <row r="26">
          <cell r="D26">
            <v>70</v>
          </cell>
        </row>
        <row r="27">
          <cell r="D27">
            <v>100</v>
          </cell>
        </row>
        <row r="28">
          <cell r="D28">
            <v>25</v>
          </cell>
        </row>
        <row r="29">
          <cell r="D29">
            <v>40</v>
          </cell>
        </row>
        <row r="30">
          <cell r="D30">
            <v>1.5</v>
          </cell>
        </row>
        <row r="31">
          <cell r="D31">
            <v>93</v>
          </cell>
        </row>
        <row r="32">
          <cell r="D32">
            <v>5</v>
          </cell>
        </row>
        <row r="33">
          <cell r="D33">
            <v>3</v>
          </cell>
        </row>
        <row r="34">
          <cell r="D34">
            <v>30</v>
          </cell>
        </row>
        <row r="35">
          <cell r="D35">
            <v>20</v>
          </cell>
        </row>
        <row r="40">
          <cell r="D40">
            <v>5</v>
          </cell>
        </row>
        <row r="41">
          <cell r="D41">
            <v>20</v>
          </cell>
        </row>
        <row r="42">
          <cell r="D42">
            <v>4</v>
          </cell>
        </row>
        <row r="43">
          <cell r="D43">
            <v>4</v>
          </cell>
        </row>
        <row r="46">
          <cell r="D46">
            <v>4</v>
          </cell>
        </row>
        <row r="47">
          <cell r="D47">
            <v>100</v>
          </cell>
        </row>
        <row r="48">
          <cell r="D48">
            <v>0.58101026064120298</v>
          </cell>
        </row>
        <row r="49">
          <cell r="D49">
            <v>85.220080709508906</v>
          </cell>
        </row>
        <row r="50">
          <cell r="D50">
            <v>100</v>
          </cell>
        </row>
        <row r="51">
          <cell r="D51">
            <v>100</v>
          </cell>
        </row>
        <row r="52">
          <cell r="D52">
            <v>1.95</v>
          </cell>
        </row>
        <row r="53">
          <cell r="D53">
            <v>0.96</v>
          </cell>
        </row>
        <row r="54">
          <cell r="D54">
            <v>3</v>
          </cell>
        </row>
        <row r="55">
          <cell r="D55">
            <v>0.1</v>
          </cell>
        </row>
        <row r="64">
          <cell r="D64">
            <v>109.86759086580999</v>
          </cell>
        </row>
        <row r="67">
          <cell r="D67">
            <v>40</v>
          </cell>
        </row>
        <row r="68">
          <cell r="D68">
            <v>0.78214901286410521</v>
          </cell>
        </row>
        <row r="69">
          <cell r="D69">
            <v>0.99</v>
          </cell>
        </row>
        <row r="70">
          <cell r="D70">
            <v>0.99</v>
          </cell>
        </row>
        <row r="71">
          <cell r="D71">
            <v>1.5724318312796621</v>
          </cell>
        </row>
        <row r="72">
          <cell r="D72">
            <v>2.2000000000000002</v>
          </cell>
        </row>
        <row r="73">
          <cell r="D73">
            <v>2.2000000000000002</v>
          </cell>
        </row>
        <row r="76">
          <cell r="D76">
            <v>65.857534246575341</v>
          </cell>
        </row>
        <row r="77">
          <cell r="D77">
            <v>65</v>
          </cell>
        </row>
        <row r="78">
          <cell r="D78">
            <v>65</v>
          </cell>
        </row>
        <row r="79">
          <cell r="D79">
            <v>15.810810810810811</v>
          </cell>
        </row>
        <row r="80">
          <cell r="D80">
            <v>15</v>
          </cell>
        </row>
        <row r="81">
          <cell r="D81">
            <v>15</v>
          </cell>
        </row>
        <row r="84">
          <cell r="D84">
            <v>100</v>
          </cell>
        </row>
        <row r="85">
          <cell r="D85">
            <v>0.16876789501445846</v>
          </cell>
        </row>
        <row r="86">
          <cell r="D86">
            <v>0.15</v>
          </cell>
        </row>
        <row r="87">
          <cell r="D87">
            <v>0.15</v>
          </cell>
        </row>
        <row r="88">
          <cell r="D88">
            <v>1.5785312610423434</v>
          </cell>
        </row>
        <row r="89">
          <cell r="D89">
            <v>0.37376414131318964</v>
          </cell>
        </row>
        <row r="94">
          <cell r="D94">
            <v>1870</v>
          </cell>
        </row>
        <row r="95">
          <cell r="D95">
            <v>53.475935828877006</v>
          </cell>
        </row>
        <row r="96">
          <cell r="D96">
            <v>33</v>
          </cell>
        </row>
        <row r="97">
          <cell r="D97">
            <v>33</v>
          </cell>
        </row>
        <row r="101">
          <cell r="D101">
            <v>137.5</v>
          </cell>
        </row>
        <row r="102">
          <cell r="D102">
            <v>137</v>
          </cell>
        </row>
        <row r="103">
          <cell r="D103">
            <v>137</v>
          </cell>
        </row>
        <row r="106">
          <cell r="D106">
            <v>184.37021587612185</v>
          </cell>
        </row>
        <row r="107">
          <cell r="D107">
            <v>262.49464178125646</v>
          </cell>
        </row>
        <row r="108">
          <cell r="D108">
            <v>205</v>
          </cell>
        </row>
        <row r="109">
          <cell r="D109">
            <v>205</v>
          </cell>
        </row>
        <row r="112">
          <cell r="D112">
            <v>0.20010756899712234</v>
          </cell>
        </row>
        <row r="113">
          <cell r="D113">
            <v>52.386319184588217</v>
          </cell>
        </row>
        <row r="114">
          <cell r="D114">
            <v>51</v>
          </cell>
        </row>
        <row r="115">
          <cell r="D115">
            <v>51</v>
          </cell>
        </row>
        <row r="116">
          <cell r="D116">
            <v>172.00505784787049</v>
          </cell>
        </row>
        <row r="117">
          <cell r="D117">
            <v>210</v>
          </cell>
        </row>
        <row r="118">
          <cell r="D118">
            <v>210</v>
          </cell>
        </row>
        <row r="122">
          <cell r="D122">
            <v>324.9299719887955</v>
          </cell>
        </row>
        <row r="123">
          <cell r="D123">
            <v>330</v>
          </cell>
        </row>
        <row r="124">
          <cell r="D124">
            <v>330</v>
          </cell>
        </row>
        <row r="127">
          <cell r="D127">
            <v>21.031935483870967</v>
          </cell>
        </row>
        <row r="128">
          <cell r="D128">
            <v>24</v>
          </cell>
        </row>
        <row r="129">
          <cell r="D129">
            <v>24</v>
          </cell>
        </row>
        <row r="130">
          <cell r="D130">
            <v>469.77617561176282</v>
          </cell>
        </row>
        <row r="131">
          <cell r="D131">
            <v>499</v>
          </cell>
        </row>
        <row r="132">
          <cell r="D132">
            <v>499</v>
          </cell>
        </row>
        <row r="135">
          <cell r="D135">
            <v>1000.0000000000001</v>
          </cell>
        </row>
        <row r="136">
          <cell r="D136">
            <v>1</v>
          </cell>
        </row>
        <row r="137">
          <cell r="D137">
            <v>1</v>
          </cell>
        </row>
        <row r="138">
          <cell r="D138">
            <v>0.91720080077458022</v>
          </cell>
        </row>
        <row r="139">
          <cell r="D139">
            <v>2.2000000000000002</v>
          </cell>
        </row>
        <row r="140">
          <cell r="D140">
            <v>2.2000000000000002</v>
          </cell>
        </row>
        <row r="141">
          <cell r="D141">
            <v>0.23099999999999996</v>
          </cell>
        </row>
        <row r="142">
          <cell r="D142">
            <v>0.22</v>
          </cell>
        </row>
        <row r="143">
          <cell r="D143">
            <v>0.22</v>
          </cell>
        </row>
        <row r="148">
          <cell r="D148">
            <v>47</v>
          </cell>
        </row>
        <row r="150">
          <cell r="D150">
            <v>1</v>
          </cell>
        </row>
        <row r="152">
          <cell r="D152">
            <v>10</v>
          </cell>
        </row>
        <row r="155">
          <cell r="D155">
            <v>18.75</v>
          </cell>
        </row>
        <row r="156">
          <cell r="D156">
            <v>6.2</v>
          </cell>
        </row>
        <row r="157">
          <cell r="D157">
            <v>2.4900000000000002</v>
          </cell>
        </row>
        <row r="158">
          <cell r="D158">
            <v>2.4900000000000002</v>
          </cell>
        </row>
        <row r="159">
          <cell r="D159">
            <v>5.2105674518483047E-6</v>
          </cell>
        </row>
        <row r="160">
          <cell r="D160">
            <v>6.8205975638413081</v>
          </cell>
        </row>
        <row r="161">
          <cell r="D161">
            <v>70</v>
          </cell>
        </row>
        <row r="162">
          <cell r="D162">
            <v>18.678255571709556</v>
          </cell>
        </row>
        <row r="163">
          <cell r="D163">
            <v>22</v>
          </cell>
        </row>
        <row r="164">
          <cell r="D164">
            <v>22</v>
          </cell>
        </row>
        <row r="167">
          <cell r="D167">
            <v>22.071428571428573</v>
          </cell>
        </row>
        <row r="168">
          <cell r="D168">
            <v>22.1</v>
          </cell>
        </row>
        <row r="169">
          <cell r="D169">
            <v>22.1</v>
          </cell>
        </row>
        <row r="170">
          <cell r="D170">
            <v>100</v>
          </cell>
        </row>
        <row r="171">
          <cell r="D171">
            <v>1</v>
          </cell>
        </row>
        <row r="172">
          <cell r="D172">
            <v>14.285714285714286</v>
          </cell>
        </row>
        <row r="173">
          <cell r="D173">
            <v>34</v>
          </cell>
        </row>
        <row r="174">
          <cell r="D174">
            <v>34</v>
          </cell>
        </row>
        <row r="175">
          <cell r="D175">
            <v>152.20385674931131</v>
          </cell>
        </row>
        <row r="176">
          <cell r="D176">
            <v>30</v>
          </cell>
        </row>
        <row r="179">
          <cell r="D179">
            <v>11</v>
          </cell>
        </row>
        <row r="183">
          <cell r="D183">
            <v>33.333333333333329</v>
          </cell>
        </row>
        <row r="184">
          <cell r="D184">
            <v>21.5</v>
          </cell>
        </row>
        <row r="185">
          <cell r="D185">
            <v>21.5</v>
          </cell>
        </row>
        <row r="186">
          <cell r="D186">
            <v>150.46118101529805</v>
          </cell>
        </row>
        <row r="187">
          <cell r="D187">
            <v>150</v>
          </cell>
        </row>
        <row r="188">
          <cell r="D188">
            <v>150</v>
          </cell>
        </row>
        <row r="193">
          <cell r="D193">
            <v>4.6428950440411754</v>
          </cell>
        </row>
        <row r="194">
          <cell r="D194">
            <v>4.7</v>
          </cell>
        </row>
        <row r="195">
          <cell r="D195">
            <v>4.7</v>
          </cell>
        </row>
        <row r="196">
          <cell r="D196">
            <v>423.36428973019838</v>
          </cell>
        </row>
        <row r="197">
          <cell r="D197">
            <v>1</v>
          </cell>
        </row>
        <row r="198">
          <cell r="D198">
            <v>1</v>
          </cell>
        </row>
        <row r="200">
          <cell r="D200">
            <v>5.3061657646184868</v>
          </cell>
        </row>
        <row r="201">
          <cell r="D201">
            <v>10</v>
          </cell>
        </row>
        <row r="202">
          <cell r="D202">
            <v>10</v>
          </cell>
        </row>
      </sheetData>
      <sheetData sheetId="2"/>
      <sheetData sheetId="3">
        <row r="23">
          <cell r="E23">
            <v>75</v>
          </cell>
        </row>
        <row r="25">
          <cell r="E25">
            <v>110</v>
          </cell>
        </row>
        <row r="28">
          <cell r="E28">
            <v>1</v>
          </cell>
        </row>
      </sheetData>
      <sheetData sheetId="4"/>
      <sheetData sheetId="5"/>
      <sheetData sheetId="6"/>
      <sheetData sheetId="7"/>
      <sheetData sheetId="8"/>
      <sheetData sheetId="9"/>
      <sheetData sheetId="10"/>
      <sheetData sheetId="11"/>
      <sheetData sheetId="12">
        <row r="5">
          <cell r="B5">
            <v>4</v>
          </cell>
        </row>
        <row r="6">
          <cell r="B6">
            <v>13</v>
          </cell>
        </row>
        <row r="7">
          <cell r="B7">
            <v>4</v>
          </cell>
        </row>
        <row r="9">
          <cell r="B9">
            <v>20</v>
          </cell>
          <cell r="E9">
            <v>0.97499999999999998</v>
          </cell>
        </row>
        <row r="10">
          <cell r="B10">
            <v>5</v>
          </cell>
          <cell r="E10">
            <v>0.84199999999999997</v>
          </cell>
        </row>
      </sheetData>
      <sheetData sheetId="13">
        <row r="3">
          <cell r="D3">
            <v>113.49476559816237</v>
          </cell>
        </row>
        <row r="4">
          <cell r="D4">
            <v>26.090750712221233</v>
          </cell>
        </row>
        <row r="5">
          <cell r="D5">
            <v>26.090750712221233</v>
          </cell>
        </row>
        <row r="9">
          <cell r="D9">
            <v>178.80357756711075</v>
          </cell>
        </row>
        <row r="10">
          <cell r="D10">
            <v>0.61967856449510506</v>
          </cell>
        </row>
        <row r="11">
          <cell r="D11">
            <v>-0.12598044438845163</v>
          </cell>
        </row>
        <row r="12">
          <cell r="D12">
            <v>0.45415323130024071</v>
          </cell>
        </row>
        <row r="15">
          <cell r="D15">
            <v>3.6518184519957577</v>
          </cell>
        </row>
        <row r="16">
          <cell r="D16">
            <v>-7.5588266633070972E-2</v>
          </cell>
        </row>
        <row r="17">
          <cell r="D17">
            <v>111.74614663276972</v>
          </cell>
        </row>
        <row r="18">
          <cell r="D18">
            <v>1.0327976074918419</v>
          </cell>
        </row>
        <row r="19">
          <cell r="D19">
            <v>0.58101026064120298</v>
          </cell>
        </row>
        <row r="22">
          <cell r="D22">
            <v>175</v>
          </cell>
        </row>
        <row r="25">
          <cell r="D25">
            <v>2.3273407865972482</v>
          </cell>
        </row>
        <row r="26">
          <cell r="D26">
            <v>-0.29652131791856806</v>
          </cell>
        </row>
        <row r="27">
          <cell r="D27">
            <v>279.54548292335858</v>
          </cell>
        </row>
        <row r="28">
          <cell r="D28">
            <v>0.2106593638087213</v>
          </cell>
        </row>
        <row r="29">
          <cell r="D29">
            <v>0.19877012721288143</v>
          </cell>
        </row>
        <row r="30">
          <cell r="D30">
            <v>0.17925763201041278</v>
          </cell>
        </row>
        <row r="31">
          <cell r="D31">
            <v>1.1067465903152802</v>
          </cell>
        </row>
        <row r="32">
          <cell r="D32">
            <v>1.0340414808673017</v>
          </cell>
        </row>
        <row r="33">
          <cell r="D33">
            <v>7.3066499999999994</v>
          </cell>
        </row>
        <row r="36">
          <cell r="D36">
            <v>1.4272035961743652</v>
          </cell>
        </row>
        <row r="37">
          <cell r="D37">
            <v>-0.2573491662319678</v>
          </cell>
        </row>
        <row r="38">
          <cell r="D38">
            <v>412.29391722032454</v>
          </cell>
        </row>
        <row r="39">
          <cell r="D39">
            <v>0.23518344308560679</v>
          </cell>
        </row>
        <row r="40">
          <cell r="D40">
            <v>0.12492312423124233</v>
          </cell>
        </row>
        <row r="41">
          <cell r="D41">
            <v>0.95443889800758774</v>
          </cell>
        </row>
        <row r="44">
          <cell r="D44">
            <v>25.58002366772325</v>
          </cell>
        </row>
        <row r="47">
          <cell r="D47">
            <v>3.3692307692307693</v>
          </cell>
        </row>
        <row r="48">
          <cell r="D48">
            <v>2.0414575532872319</v>
          </cell>
        </row>
        <row r="49">
          <cell r="D49">
            <v>-5.706788983287861E-2</v>
          </cell>
        </row>
        <row r="50">
          <cell r="D50">
            <v>198.10693409856293</v>
          </cell>
        </row>
        <row r="51">
          <cell r="D51">
            <v>0.58101026064120298</v>
          </cell>
        </row>
        <row r="52">
          <cell r="D52">
            <v>0.56334414954100465</v>
          </cell>
        </row>
        <row r="56">
          <cell r="D56">
            <v>-0.10703358930262374</v>
          </cell>
        </row>
        <row r="57">
          <cell r="D57">
            <v>103.81990665412921</v>
          </cell>
        </row>
        <row r="58">
          <cell r="D58">
            <v>0.48612692268771507</v>
          </cell>
        </row>
        <row r="59">
          <cell r="D59">
            <v>0.32870084278896095</v>
          </cell>
        </row>
        <row r="60">
          <cell r="D60">
            <v>1.5157706371502866</v>
          </cell>
        </row>
        <row r="63">
          <cell r="D63">
            <v>3.3285708906195755</v>
          </cell>
        </row>
        <row r="64">
          <cell r="D64">
            <v>-7.5588266633070972E-2</v>
          </cell>
        </row>
        <row r="65">
          <cell r="D65">
            <v>122287.06425087432</v>
          </cell>
        </row>
        <row r="66">
          <cell r="D66">
            <v>0.93890691590167441</v>
          </cell>
        </row>
        <row r="67">
          <cell r="D67">
            <v>0.58101026064120298</v>
          </cell>
        </row>
        <row r="68">
          <cell r="D68">
            <v>12019.527817342851</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Visio_Drawing1.vsd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Q70"/>
  <sheetViews>
    <sheetView tabSelected="1" zoomScale="85" zoomScaleNormal="85" workbookViewId="0">
      <selection activeCell="C13" sqref="C13"/>
    </sheetView>
  </sheetViews>
  <sheetFormatPr defaultColWidth="9" defaultRowHeight="15"/>
  <cols>
    <col min="1" max="1" width="5" style="1" customWidth="1"/>
    <col min="2" max="2" width="97.7109375" style="1" customWidth="1"/>
    <col min="3" max="3" width="49.28515625" style="1" customWidth="1"/>
    <col min="4" max="4" width="13.85546875" style="1" customWidth="1"/>
    <col min="5" max="5" width="71" style="1" customWidth="1"/>
    <col min="6" max="6" width="17.85546875" style="1" customWidth="1"/>
    <col min="7" max="7" width="36.7109375" style="5" customWidth="1"/>
    <col min="8" max="8" width="11" style="1" bestFit="1" customWidth="1"/>
    <col min="9" max="9" width="7.7109375" style="1" customWidth="1"/>
    <col min="10" max="10" width="18.28515625" style="1" bestFit="1" customWidth="1"/>
    <col min="11" max="13" width="7.7109375" style="1" customWidth="1"/>
    <col min="14" max="21" width="9" style="1"/>
    <col min="22" max="22" width="28.140625" style="1" bestFit="1" customWidth="1"/>
    <col min="23" max="23" width="33.42578125" style="1" bestFit="1" customWidth="1"/>
    <col min="24" max="24" width="8" style="1" bestFit="1" customWidth="1"/>
    <col min="25" max="16384" width="9" style="1"/>
  </cols>
  <sheetData>
    <row r="1" spans="1:17" ht="30.75" thickBot="1">
      <c r="A1" s="6"/>
      <c r="B1" s="129" t="s">
        <v>132</v>
      </c>
      <c r="C1" s="129"/>
      <c r="D1" s="129"/>
      <c r="E1" s="129"/>
      <c r="F1" s="6"/>
      <c r="G1" s="17"/>
      <c r="H1" s="6"/>
      <c r="I1" s="6"/>
      <c r="J1" s="6"/>
      <c r="K1" s="6"/>
      <c r="L1" s="6"/>
      <c r="M1" s="6"/>
      <c r="N1" s="6"/>
      <c r="O1" s="6"/>
      <c r="P1" s="6"/>
      <c r="Q1" s="6"/>
    </row>
    <row r="2" spans="1:17" ht="15.75">
      <c r="A2" s="6"/>
      <c r="B2" s="130" t="s">
        <v>19</v>
      </c>
      <c r="C2" s="131"/>
      <c r="D2" s="131"/>
      <c r="E2" s="132"/>
      <c r="F2" s="6"/>
      <c r="G2" s="17"/>
      <c r="H2" s="6"/>
      <c r="I2" s="6"/>
      <c r="J2" s="6"/>
      <c r="K2" s="6"/>
      <c r="L2" s="6"/>
      <c r="M2" s="6"/>
      <c r="N2" s="6"/>
      <c r="O2" s="6"/>
      <c r="P2" s="6"/>
      <c r="Q2" s="6"/>
    </row>
    <row r="3" spans="1:17">
      <c r="A3" s="6"/>
      <c r="B3" s="133" t="s">
        <v>1</v>
      </c>
      <c r="C3" s="134"/>
      <c r="D3" s="134"/>
      <c r="E3" s="135"/>
      <c r="F3" s="6"/>
      <c r="G3" s="17"/>
      <c r="H3" s="6"/>
      <c r="I3" s="6"/>
      <c r="J3" s="6"/>
      <c r="K3" s="6"/>
      <c r="L3" s="6"/>
      <c r="M3" s="6"/>
      <c r="N3" s="6"/>
      <c r="O3" s="6"/>
      <c r="P3" s="6"/>
      <c r="Q3" s="6"/>
    </row>
    <row r="4" spans="1:17">
      <c r="A4" s="7"/>
      <c r="B4" s="133"/>
      <c r="C4" s="134"/>
      <c r="D4" s="134"/>
      <c r="E4" s="135"/>
      <c r="F4" s="6"/>
      <c r="G4" s="17"/>
      <c r="H4" s="6"/>
      <c r="I4" s="6"/>
      <c r="J4" s="6"/>
      <c r="K4" s="6"/>
      <c r="L4" s="6"/>
      <c r="M4" s="6"/>
      <c r="N4" s="6"/>
      <c r="O4" s="6"/>
      <c r="P4" s="6"/>
      <c r="Q4" s="6"/>
    </row>
    <row r="5" spans="1:17">
      <c r="A5" s="7"/>
      <c r="B5" s="133"/>
      <c r="C5" s="134"/>
      <c r="D5" s="134"/>
      <c r="E5" s="135"/>
      <c r="F5" s="8"/>
      <c r="G5" s="17"/>
      <c r="H5" s="6"/>
      <c r="I5" s="6"/>
      <c r="J5" s="6"/>
      <c r="K5" s="6"/>
      <c r="L5" s="6"/>
      <c r="M5" s="6"/>
      <c r="N5" s="6"/>
      <c r="O5" s="6"/>
      <c r="P5" s="6"/>
      <c r="Q5" s="6"/>
    </row>
    <row r="6" spans="1:17" ht="15.75" thickBot="1">
      <c r="A6" s="7"/>
      <c r="B6" s="136"/>
      <c r="C6" s="137"/>
      <c r="D6" s="137"/>
      <c r="E6" s="138"/>
      <c r="F6" s="8"/>
      <c r="G6" s="17"/>
      <c r="H6" s="6"/>
      <c r="I6" s="6"/>
      <c r="J6" s="6"/>
      <c r="K6" s="6"/>
      <c r="L6" s="6"/>
      <c r="M6" s="6"/>
      <c r="N6" s="6"/>
      <c r="O6" s="6"/>
      <c r="P6" s="6"/>
      <c r="Q6" s="6"/>
    </row>
    <row r="7" spans="1:17" ht="25.35" customHeight="1">
      <c r="A7" s="7"/>
      <c r="B7" s="139" t="s">
        <v>133</v>
      </c>
      <c r="C7" s="140"/>
      <c r="D7" s="140"/>
      <c r="E7" s="141"/>
      <c r="F7" s="8"/>
      <c r="G7" s="17"/>
      <c r="H7" s="6"/>
      <c r="I7" s="6"/>
      <c r="J7" s="6"/>
      <c r="K7" s="6"/>
      <c r="L7" s="6"/>
      <c r="M7" s="6"/>
      <c r="N7" s="6"/>
      <c r="O7" s="6"/>
      <c r="P7" s="6"/>
      <c r="Q7" s="6"/>
    </row>
    <row r="8" spans="1:17" ht="18">
      <c r="A8" s="7"/>
      <c r="B8" s="142" t="s">
        <v>2</v>
      </c>
      <c r="C8" s="143"/>
      <c r="D8" s="143"/>
      <c r="E8" s="144"/>
      <c r="F8" s="8"/>
      <c r="G8" s="17" t="s">
        <v>96</v>
      </c>
      <c r="H8" s="1">
        <f>C24/VDD_COM*1000+I_VDD_COM</f>
        <v>22.000000000000004</v>
      </c>
      <c r="I8" s="6" t="s">
        <v>0</v>
      </c>
      <c r="J8" s="6"/>
      <c r="K8" s="6"/>
      <c r="L8" s="6"/>
      <c r="M8" s="6"/>
      <c r="N8" s="6"/>
      <c r="O8" s="6"/>
      <c r="P8" s="6"/>
      <c r="Q8" s="6"/>
    </row>
    <row r="9" spans="1:17" ht="18.75" thickBot="1">
      <c r="A9" s="7"/>
      <c r="B9" s="163" t="s">
        <v>24</v>
      </c>
      <c r="C9" s="164"/>
      <c r="D9" s="164"/>
      <c r="E9" s="165"/>
      <c r="F9" s="8"/>
      <c r="G9" s="17" t="s">
        <v>97</v>
      </c>
      <c r="H9" s="94">
        <f>C26</f>
        <v>21.000000000000004</v>
      </c>
      <c r="I9" s="6" t="s">
        <v>0</v>
      </c>
      <c r="J9" s="6"/>
      <c r="K9" s="6"/>
      <c r="L9" s="6"/>
      <c r="M9" s="6"/>
      <c r="N9" s="6"/>
      <c r="O9" s="6"/>
      <c r="P9" s="6"/>
      <c r="Q9" s="6"/>
    </row>
    <row r="10" spans="1:17" ht="33" customHeight="1" thickBot="1">
      <c r="A10" s="7"/>
      <c r="B10" s="145" t="s">
        <v>3</v>
      </c>
      <c r="C10" s="146"/>
      <c r="D10" s="146"/>
      <c r="E10" s="147"/>
      <c r="F10" s="6"/>
      <c r="G10" s="95" t="s">
        <v>98</v>
      </c>
      <c r="H10" s="94">
        <f>H8+H9*COM_VEE/VDD_COM/0.7</f>
        <v>30.333333333333336</v>
      </c>
      <c r="I10" s="6" t="s">
        <v>0</v>
      </c>
      <c r="J10" s="6"/>
      <c r="K10" s="6"/>
      <c r="L10" s="6"/>
      <c r="M10" s="6"/>
      <c r="N10" s="6"/>
      <c r="O10" s="6"/>
      <c r="P10" s="6"/>
      <c r="Q10" s="6"/>
    </row>
    <row r="11" spans="1:17">
      <c r="A11" s="7"/>
      <c r="B11" s="148" t="s">
        <v>4</v>
      </c>
      <c r="C11" s="149"/>
      <c r="D11" s="149"/>
      <c r="E11" s="150"/>
      <c r="F11" s="6"/>
      <c r="G11" s="17"/>
      <c r="H11" s="6"/>
      <c r="I11" s="6"/>
      <c r="J11" s="6"/>
      <c r="K11" s="6"/>
      <c r="L11" s="6"/>
      <c r="M11" s="6"/>
      <c r="N11" s="6"/>
      <c r="O11" s="6"/>
      <c r="P11" s="6"/>
      <c r="Q11" s="6"/>
    </row>
    <row r="12" spans="1:17" ht="15.75" thickBot="1">
      <c r="A12" s="7"/>
      <c r="B12" s="151"/>
      <c r="C12" s="152"/>
      <c r="D12" s="152"/>
      <c r="E12" s="153"/>
      <c r="F12" s="6"/>
      <c r="G12" s="17"/>
      <c r="H12" s="6"/>
      <c r="I12" s="6"/>
      <c r="J12" s="6"/>
      <c r="K12" s="6"/>
      <c r="L12" s="6"/>
      <c r="M12" s="6"/>
      <c r="N12" s="6"/>
      <c r="O12" s="6"/>
      <c r="P12" s="6"/>
      <c r="Q12" s="6"/>
    </row>
    <row r="13" spans="1:17" ht="20.25" customHeight="1">
      <c r="A13" s="7"/>
      <c r="B13" s="42" t="s">
        <v>27</v>
      </c>
      <c r="C13" s="39">
        <v>18</v>
      </c>
      <c r="D13" s="40" t="s">
        <v>5</v>
      </c>
      <c r="E13" s="28" t="s">
        <v>166</v>
      </c>
      <c r="F13" s="6"/>
      <c r="G13" s="17"/>
      <c r="H13" s="6"/>
      <c r="I13" s="6"/>
      <c r="J13" s="6"/>
      <c r="K13" s="6"/>
      <c r="L13" s="6"/>
      <c r="M13" s="6"/>
      <c r="N13" s="6"/>
      <c r="O13" s="6"/>
      <c r="P13" s="6"/>
      <c r="Q13" s="6"/>
    </row>
    <row r="14" spans="1:17">
      <c r="A14" s="7"/>
      <c r="B14" s="37" t="s">
        <v>12</v>
      </c>
      <c r="C14" s="35">
        <v>5</v>
      </c>
      <c r="D14" s="38" t="s">
        <v>5</v>
      </c>
      <c r="E14" s="28" t="s">
        <v>167</v>
      </c>
      <c r="F14" s="6"/>
      <c r="G14" s="17"/>
      <c r="H14" s="6"/>
      <c r="I14" s="6"/>
      <c r="J14" s="6"/>
      <c r="K14" s="6"/>
      <c r="L14" s="6"/>
      <c r="M14" s="6"/>
      <c r="N14" s="6"/>
      <c r="O14" s="6"/>
      <c r="P14" s="6"/>
      <c r="Q14" s="6"/>
    </row>
    <row r="15" spans="1:17" ht="20.25" customHeight="1">
      <c r="A15" s="7"/>
      <c r="B15" s="9" t="s">
        <v>25</v>
      </c>
      <c r="C15" s="2">
        <v>1.2</v>
      </c>
      <c r="D15" s="10" t="s">
        <v>9</v>
      </c>
      <c r="E15" s="23"/>
      <c r="F15" s="6"/>
      <c r="G15" s="17"/>
      <c r="H15" s="6"/>
      <c r="I15" s="6"/>
      <c r="J15" s="6"/>
      <c r="K15" s="6"/>
      <c r="L15" s="6"/>
      <c r="M15" s="6"/>
      <c r="N15" s="6"/>
      <c r="O15" s="6"/>
      <c r="P15" s="6"/>
      <c r="Q15" s="6"/>
    </row>
    <row r="16" spans="1:17" ht="20.25" customHeight="1">
      <c r="A16" s="7"/>
      <c r="B16" s="11" t="s">
        <v>10</v>
      </c>
      <c r="C16" s="3">
        <v>15</v>
      </c>
      <c r="D16" s="12" t="s">
        <v>6</v>
      </c>
      <c r="E16" s="27"/>
      <c r="F16" s="6"/>
      <c r="G16" s="17"/>
      <c r="H16" s="6"/>
      <c r="I16" s="6"/>
      <c r="J16" s="6"/>
      <c r="K16" s="6"/>
      <c r="L16" s="6"/>
      <c r="M16" s="6"/>
      <c r="N16" s="6"/>
      <c r="O16" s="6"/>
      <c r="P16" s="6"/>
      <c r="Q16" s="6"/>
    </row>
    <row r="17" spans="1:17" ht="18" customHeight="1">
      <c r="A17" s="7"/>
      <c r="B17" s="11" t="s">
        <v>44</v>
      </c>
      <c r="C17" s="4">
        <v>4</v>
      </c>
      <c r="D17" s="12" t="s">
        <v>0</v>
      </c>
      <c r="E17" s="28" t="s">
        <v>13</v>
      </c>
      <c r="F17" s="6"/>
      <c r="G17" s="17"/>
      <c r="H17" s="6"/>
      <c r="I17" s="6"/>
      <c r="J17" s="6"/>
      <c r="K17" s="6"/>
      <c r="L17" s="6"/>
      <c r="M17" s="6"/>
      <c r="N17" s="6"/>
      <c r="O17" s="6"/>
      <c r="P17" s="6"/>
      <c r="Q17" s="6"/>
    </row>
    <row r="18" spans="1:17" ht="20.25" customHeight="1">
      <c r="A18" s="7"/>
      <c r="B18" s="13" t="s">
        <v>116</v>
      </c>
      <c r="C18" s="4">
        <v>0</v>
      </c>
      <c r="D18" s="12" t="s">
        <v>0</v>
      </c>
      <c r="E18" s="27"/>
      <c r="F18" s="6"/>
      <c r="J18" s="6"/>
      <c r="K18" s="6"/>
      <c r="L18" s="6"/>
      <c r="M18" s="6"/>
      <c r="N18" s="6"/>
      <c r="O18" s="6"/>
      <c r="P18" s="6"/>
      <c r="Q18" s="6"/>
    </row>
    <row r="19" spans="1:17" ht="20.25" customHeight="1">
      <c r="A19" s="7"/>
      <c r="B19" s="13" t="s">
        <v>46</v>
      </c>
      <c r="C19" s="4">
        <v>3</v>
      </c>
      <c r="D19" s="12" t="s">
        <v>0</v>
      </c>
      <c r="E19" s="28" t="s">
        <v>13</v>
      </c>
      <c r="F19" s="6"/>
      <c r="J19" s="6"/>
      <c r="K19" s="6"/>
      <c r="L19" s="6"/>
      <c r="M19" s="6"/>
      <c r="N19" s="6"/>
      <c r="O19" s="6"/>
      <c r="P19" s="6"/>
      <c r="Q19" s="6"/>
    </row>
    <row r="20" spans="1:17" ht="20.25" customHeight="1">
      <c r="A20" s="7"/>
      <c r="B20" s="13" t="s">
        <v>117</v>
      </c>
      <c r="C20" s="20">
        <f>IQ_DRIVER_VDD+IQ_OTHER_VDD</f>
        <v>4</v>
      </c>
      <c r="D20" s="12" t="s">
        <v>0</v>
      </c>
      <c r="E20" s="27"/>
      <c r="F20" s="6"/>
      <c r="J20" s="6"/>
      <c r="K20" s="6"/>
      <c r="L20" s="6"/>
      <c r="M20" s="6"/>
      <c r="N20" s="6"/>
      <c r="O20" s="6"/>
      <c r="P20" s="6"/>
      <c r="Q20" s="6"/>
    </row>
    <row r="21" spans="1:17" ht="20.25" customHeight="1">
      <c r="A21" s="7"/>
      <c r="B21" s="11" t="s">
        <v>118</v>
      </c>
      <c r="C21" s="4">
        <v>10</v>
      </c>
      <c r="D21" s="12" t="s">
        <v>11</v>
      </c>
      <c r="E21" s="27"/>
      <c r="F21" s="6"/>
      <c r="G21" s="29"/>
      <c r="H21" s="6"/>
      <c r="I21" s="6"/>
      <c r="J21" s="6"/>
      <c r="K21" s="6"/>
      <c r="L21" s="6"/>
      <c r="M21" s="6"/>
      <c r="N21" s="6"/>
      <c r="O21" s="6"/>
      <c r="P21" s="6"/>
      <c r="Q21" s="6"/>
    </row>
    <row r="22" spans="1:17" ht="20.100000000000001" customHeight="1">
      <c r="A22" s="7"/>
      <c r="B22" s="18" t="s">
        <v>119</v>
      </c>
      <c r="C22" s="4">
        <v>1</v>
      </c>
      <c r="D22" s="19" t="s">
        <v>17</v>
      </c>
      <c r="E22" s="27" t="s">
        <v>22</v>
      </c>
      <c r="F22" s="6"/>
      <c r="G22" s="17"/>
      <c r="H22" s="6"/>
      <c r="I22" s="6"/>
      <c r="J22" s="6"/>
      <c r="K22" s="6"/>
      <c r="L22" s="6"/>
      <c r="M22" s="6"/>
      <c r="N22" s="6"/>
      <c r="O22" s="6"/>
      <c r="P22" s="6"/>
      <c r="Q22" s="6"/>
    </row>
    <row r="23" spans="1:17" ht="20.100000000000001" customHeight="1">
      <c r="A23" s="7"/>
      <c r="B23" s="18" t="s">
        <v>120</v>
      </c>
      <c r="C23" s="4">
        <v>5</v>
      </c>
      <c r="D23" s="19" t="s">
        <v>17</v>
      </c>
      <c r="E23" s="27" t="s">
        <v>37</v>
      </c>
      <c r="F23" s="6"/>
      <c r="G23" s="17"/>
      <c r="H23" s="6"/>
      <c r="I23" s="6"/>
      <c r="J23" s="6"/>
      <c r="K23" s="6"/>
      <c r="L23" s="6"/>
      <c r="M23" s="6"/>
      <c r="N23" s="6"/>
      <c r="O23" s="6"/>
      <c r="P23" s="6"/>
      <c r="Q23" s="6"/>
    </row>
    <row r="24" spans="1:17" ht="20.25" customHeight="1">
      <c r="A24" s="7"/>
      <c r="B24" s="9" t="s">
        <v>49</v>
      </c>
      <c r="C24" s="21">
        <f>(Qgtot*0.000001*VDD_COM*fsw*1000)</f>
        <v>0.32400000000000001</v>
      </c>
      <c r="D24" s="10" t="s">
        <v>18</v>
      </c>
      <c r="E24" s="23"/>
      <c r="F24" s="6"/>
      <c r="G24" s="17"/>
      <c r="H24" s="6"/>
      <c r="I24" s="6"/>
      <c r="J24" s="6"/>
      <c r="K24" s="6"/>
      <c r="L24" s="6"/>
      <c r="M24" s="6"/>
      <c r="N24" s="6"/>
      <c r="O24" s="6"/>
      <c r="P24" s="6"/>
      <c r="Q24" s="6"/>
    </row>
    <row r="25" spans="1:17" ht="22.5" customHeight="1">
      <c r="A25" s="7"/>
      <c r="B25" s="9" t="s">
        <v>50</v>
      </c>
      <c r="C25" s="46">
        <f>(Qgtot*0.000001*COM_VEE*fsw*1000)</f>
        <v>9.0000000000000011E-2</v>
      </c>
      <c r="D25" s="12" t="s">
        <v>18</v>
      </c>
      <c r="E25" s="28"/>
      <c r="F25" s="6"/>
      <c r="G25" s="17"/>
      <c r="H25" s="6"/>
      <c r="I25" s="6"/>
      <c r="J25" s="6"/>
      <c r="K25" s="6"/>
      <c r="L25" s="6"/>
      <c r="M25" s="6"/>
      <c r="N25" s="6"/>
      <c r="O25" s="6"/>
      <c r="P25" s="6"/>
      <c r="Q25" s="6"/>
    </row>
    <row r="26" spans="1:17" ht="28.5" customHeight="1">
      <c r="A26" s="7"/>
      <c r="B26" s="9" t="s">
        <v>51</v>
      </c>
      <c r="C26" s="51">
        <f>C25/COM_VEE*1000+IQ_VEE</f>
        <v>21.000000000000004</v>
      </c>
      <c r="D26" s="12" t="s">
        <v>0</v>
      </c>
      <c r="E26" s="28" t="s">
        <v>43</v>
      </c>
      <c r="F26" s="6"/>
      <c r="G26" s="17"/>
      <c r="H26" s="6"/>
      <c r="I26" s="6"/>
      <c r="J26" s="6"/>
      <c r="K26" s="6"/>
      <c r="L26" s="6"/>
      <c r="M26" s="6"/>
      <c r="N26" s="6"/>
      <c r="O26" s="6"/>
      <c r="P26" s="6"/>
      <c r="Q26" s="6"/>
    </row>
    <row r="27" spans="1:17" ht="27" customHeight="1">
      <c r="A27" s="7"/>
      <c r="B27" s="9" t="s">
        <v>139</v>
      </c>
      <c r="C27" s="52">
        <f>(IF(COM_VEE&gt;5,63.5-(COM_VEE-5)*(63.5-42)/(8-5),63.5+(5-COM_VEE)*(91-63.5)/(5-2))-(18-VDD_COM)*(73-69)/(20-15))*0.87</f>
        <v>55.244999999999997</v>
      </c>
      <c r="D27" s="12" t="s">
        <v>0</v>
      </c>
      <c r="E27" s="28" t="s">
        <v>113</v>
      </c>
      <c r="F27" s="6"/>
      <c r="K27" s="6"/>
      <c r="L27" s="6"/>
      <c r="M27" s="6"/>
      <c r="N27" s="6"/>
      <c r="O27" s="6"/>
      <c r="P27" s="6"/>
      <c r="Q27" s="6"/>
    </row>
    <row r="28" spans="1:17" ht="27" customHeight="1">
      <c r="A28" s="7"/>
      <c r="B28" s="9" t="s">
        <v>144</v>
      </c>
      <c r="C28" s="4">
        <v>3.3</v>
      </c>
      <c r="D28" s="12" t="s">
        <v>143</v>
      </c>
      <c r="E28" s="28"/>
      <c r="F28" s="6"/>
      <c r="K28" s="6"/>
      <c r="L28" s="6"/>
      <c r="M28" s="6"/>
      <c r="N28" s="6"/>
      <c r="O28" s="6"/>
      <c r="P28" s="6"/>
      <c r="Q28" s="6"/>
    </row>
    <row r="29" spans="1:17" ht="27" customHeight="1">
      <c r="A29" s="7"/>
      <c r="B29" s="9" t="s">
        <v>145</v>
      </c>
      <c r="C29" s="119">
        <f>1/((C28*(C13/C28*23.7+(-6.675*C13+261.35))/C13)+(C28*(C13/C28*23.7+(-6.675*C13+261.35))/C14)+((-(-21))/(C14/C28)+22.2+14.3+(-(-21-C14/C28*22.2))/(C13/C28)))*1000</f>
        <v>3.4665008908907291</v>
      </c>
      <c r="D29" s="12" t="s">
        <v>147</v>
      </c>
      <c r="E29" s="28"/>
      <c r="F29" s="6"/>
      <c r="K29" s="6"/>
      <c r="L29" s="6"/>
      <c r="M29" s="6"/>
      <c r="N29" s="6"/>
      <c r="O29" s="6"/>
      <c r="P29" s="6"/>
      <c r="Q29" s="6"/>
    </row>
    <row r="30" spans="1:17" ht="27" customHeight="1">
      <c r="A30" s="120" t="s">
        <v>158</v>
      </c>
      <c r="B30" s="118" t="s">
        <v>150</v>
      </c>
      <c r="C30" s="4">
        <v>0.2</v>
      </c>
      <c r="D30" s="12" t="s">
        <v>146</v>
      </c>
      <c r="E30" s="28" t="s">
        <v>162</v>
      </c>
      <c r="F30" s="6"/>
      <c r="K30" s="6"/>
      <c r="L30" s="6"/>
      <c r="M30" s="6"/>
      <c r="N30" s="6"/>
      <c r="O30" s="6"/>
      <c r="P30" s="6"/>
      <c r="Q30" s="6"/>
    </row>
    <row r="31" spans="1:17" ht="27" customHeight="1">
      <c r="A31" s="121"/>
      <c r="B31" s="118" t="s">
        <v>151</v>
      </c>
      <c r="C31" s="4">
        <v>1.393</v>
      </c>
      <c r="D31" s="12" t="s">
        <v>146</v>
      </c>
      <c r="E31" s="28" t="s">
        <v>162</v>
      </c>
      <c r="F31" s="6"/>
      <c r="G31" s="57" t="s">
        <v>53</v>
      </c>
      <c r="H31" s="57" t="s">
        <v>112</v>
      </c>
      <c r="I31" s="57" t="s">
        <v>47</v>
      </c>
      <c r="K31" s="6"/>
      <c r="L31" s="6"/>
      <c r="M31" s="6"/>
      <c r="N31" s="6"/>
      <c r="O31" s="6"/>
      <c r="P31" s="6"/>
      <c r="Q31" s="6"/>
    </row>
    <row r="32" spans="1:17" ht="27" customHeight="1">
      <c r="A32" s="121"/>
      <c r="B32" s="118" t="s">
        <v>149</v>
      </c>
      <c r="C32" s="4">
        <v>3400</v>
      </c>
      <c r="D32" s="12" t="s">
        <v>146</v>
      </c>
      <c r="E32" s="28" t="s">
        <v>163</v>
      </c>
      <c r="F32" s="6"/>
      <c r="G32" s="58" t="s">
        <v>54</v>
      </c>
      <c r="H32" s="54" t="s">
        <v>20</v>
      </c>
      <c r="I32" s="54" t="s">
        <v>8</v>
      </c>
      <c r="K32" s="6"/>
      <c r="L32" s="6"/>
      <c r="M32" s="6"/>
      <c r="N32" s="6"/>
      <c r="O32" s="6"/>
      <c r="P32" s="6"/>
      <c r="Q32" s="6"/>
    </row>
    <row r="33" spans="1:17" ht="27" customHeight="1">
      <c r="A33" s="121"/>
      <c r="B33" s="118" t="s">
        <v>152</v>
      </c>
      <c r="C33" s="4">
        <v>100</v>
      </c>
      <c r="D33" s="12" t="s">
        <v>153</v>
      </c>
      <c r="E33" s="28" t="s">
        <v>165</v>
      </c>
      <c r="F33" s="6"/>
      <c r="G33" s="58" t="s">
        <v>55</v>
      </c>
      <c r="H33" s="54" t="s">
        <v>20</v>
      </c>
      <c r="I33" s="54" t="s">
        <v>8</v>
      </c>
      <c r="K33" s="6"/>
      <c r="L33" s="6"/>
      <c r="M33" s="6"/>
      <c r="N33" s="6"/>
      <c r="O33" s="6"/>
      <c r="P33" s="6"/>
      <c r="Q33" s="6"/>
    </row>
    <row r="34" spans="1:17" ht="27" customHeight="1">
      <c r="A34" s="121"/>
      <c r="B34" s="118" t="s">
        <v>154</v>
      </c>
      <c r="C34" s="117">
        <f>(1+0.004*(C33-20))*C30</f>
        <v>0.26400000000000001</v>
      </c>
      <c r="D34" s="12" t="s">
        <v>146</v>
      </c>
      <c r="E34" s="28" t="s">
        <v>156</v>
      </c>
      <c r="F34" s="6"/>
      <c r="G34" s="58" t="s">
        <v>56</v>
      </c>
      <c r="H34" s="54">
        <f>C50</f>
        <v>6.8</v>
      </c>
      <c r="I34" s="54" t="s">
        <v>8</v>
      </c>
      <c r="K34" s="6"/>
      <c r="L34" s="6"/>
      <c r="M34" s="6"/>
      <c r="N34" s="6"/>
      <c r="O34" s="6"/>
      <c r="P34" s="6"/>
      <c r="Q34" s="6"/>
    </row>
    <row r="35" spans="1:17" ht="27" customHeight="1">
      <c r="A35" s="121"/>
      <c r="B35" s="118" t="s">
        <v>155</v>
      </c>
      <c r="C35" s="117">
        <f>(1+0.004*(C33-20))*C31</f>
        <v>1.8387600000000002</v>
      </c>
      <c r="D35" s="12" t="s">
        <v>146</v>
      </c>
      <c r="E35" s="28" t="s">
        <v>156</v>
      </c>
      <c r="F35" s="6"/>
      <c r="G35" s="58" t="s">
        <v>57</v>
      </c>
      <c r="H35" s="54">
        <f>C64</f>
        <v>2.2000000000000002</v>
      </c>
      <c r="I35" s="54" t="s">
        <v>8</v>
      </c>
      <c r="K35" s="6"/>
      <c r="L35" s="6"/>
      <c r="M35" s="6"/>
      <c r="N35" s="6"/>
      <c r="O35" s="6"/>
      <c r="P35" s="6"/>
      <c r="Q35" s="6"/>
    </row>
    <row r="36" spans="1:17" ht="27" customHeight="1">
      <c r="A36" s="121"/>
      <c r="B36" s="118" t="s">
        <v>160</v>
      </c>
      <c r="C36" s="117">
        <f>((((C13/C28*23.7+(-6.675*C13+261.35))+(-21-C14/C28*22.2))/2)/1000)^2*C34*1000</f>
        <v>3.0746321672727279</v>
      </c>
      <c r="D36" s="12" t="s">
        <v>140</v>
      </c>
      <c r="E36" s="28"/>
      <c r="F36" s="6"/>
      <c r="G36" s="58" t="s">
        <v>58</v>
      </c>
      <c r="H36" s="54">
        <f>C52</f>
        <v>6.8</v>
      </c>
      <c r="I36" s="54" t="s">
        <v>8</v>
      </c>
      <c r="K36" s="6"/>
      <c r="L36" s="6"/>
      <c r="M36" s="6"/>
      <c r="N36" s="6"/>
      <c r="O36" s="6"/>
      <c r="P36" s="6"/>
      <c r="Q36" s="6"/>
    </row>
    <row r="37" spans="1:17" ht="27" customHeight="1">
      <c r="A37" s="121"/>
      <c r="B37" s="118" t="s">
        <v>161</v>
      </c>
      <c r="C37" s="117">
        <f>((((C13/C28*23.7+141.2)-(-21-C14/C28*22.2))/2/SQRT(3))/1000)^2*C35*1000</f>
        <v>16.195785973563645</v>
      </c>
      <c r="D37" s="12" t="s">
        <v>140</v>
      </c>
      <c r="E37" s="28"/>
      <c r="F37" s="6"/>
      <c r="G37" s="58" t="s">
        <v>59</v>
      </c>
      <c r="H37" s="54">
        <f>C65</f>
        <v>220</v>
      </c>
      <c r="I37" s="54" t="s">
        <v>7</v>
      </c>
      <c r="K37" s="6"/>
      <c r="L37" s="6"/>
      <c r="M37" s="6"/>
      <c r="N37" s="6"/>
      <c r="O37" s="6"/>
      <c r="P37" s="6"/>
      <c r="Q37" s="6"/>
    </row>
    <row r="38" spans="1:17" ht="27" customHeight="1">
      <c r="A38" s="121"/>
      <c r="B38" s="118" t="s">
        <v>148</v>
      </c>
      <c r="C38" s="117">
        <f>(C13^2/C32*(((C28*(C13/C28*23.7+(-6.675*C13+261.35))/C13)+15+15)/(((C28*(C13/C28*23.7+(-6.675*C13+261.35))/C13)+15+15)+((C28*(C13/C28*23.7+(-6.675*C13+261.35))/C14)+30)))+C14^2/C32*(1-(((C28*(C13/C28*23.7+(-6.675*C13+261.35))/C13)+15+15)/(((C28*(C13/C28*23.7+(-6.675*C13+261.35))/C13)+15+15)+((C28*(C13/C28*23.7+(-6.675*C13+261.35))/C14)+30)))))*1000</f>
        <v>31.646511080898762</v>
      </c>
      <c r="D38" s="12" t="s">
        <v>140</v>
      </c>
      <c r="E38" s="28"/>
      <c r="F38" s="6"/>
      <c r="G38" s="58" t="s">
        <v>89</v>
      </c>
      <c r="H38" s="54">
        <f>C66</f>
        <v>10</v>
      </c>
      <c r="I38" s="54" t="s">
        <v>7</v>
      </c>
      <c r="K38" s="6"/>
      <c r="L38" s="6"/>
      <c r="M38" s="6"/>
      <c r="N38" s="6"/>
      <c r="O38" s="6"/>
      <c r="P38" s="6"/>
      <c r="Q38" s="6"/>
    </row>
    <row r="39" spans="1:17" ht="27" customHeight="1">
      <c r="A39" s="122"/>
      <c r="B39" s="118" t="s">
        <v>157</v>
      </c>
      <c r="C39" s="117">
        <f>C36+C37+C38</f>
        <v>50.916929221735131</v>
      </c>
      <c r="D39" s="12" t="s">
        <v>140</v>
      </c>
      <c r="E39" s="28" t="s">
        <v>159</v>
      </c>
      <c r="F39" s="6"/>
      <c r="G39" s="114" t="s">
        <v>60</v>
      </c>
      <c r="H39" s="54">
        <v>0.1</v>
      </c>
      <c r="I39" s="54" t="s">
        <v>8</v>
      </c>
      <c r="K39" s="6"/>
      <c r="L39" s="6"/>
      <c r="M39" s="6"/>
      <c r="N39" s="6"/>
      <c r="O39" s="6"/>
      <c r="P39" s="6"/>
      <c r="Q39" s="6"/>
    </row>
    <row r="40" spans="1:17" ht="23.25" customHeight="1">
      <c r="A40" s="7"/>
      <c r="B40" s="9" t="s">
        <v>141</v>
      </c>
      <c r="C40" s="46">
        <f>C24+C25/((C26*COM_VEE)/((C26*COM_VEE)/0.82+C39))</f>
        <v>0.4773991797510343</v>
      </c>
      <c r="D40" s="12" t="s">
        <v>18</v>
      </c>
      <c r="E40" s="27"/>
      <c r="F40" s="6"/>
      <c r="G40" s="123" t="s">
        <v>111</v>
      </c>
      <c r="H40" s="113">
        <v>1</v>
      </c>
      <c r="I40" s="54" t="s">
        <v>8</v>
      </c>
      <c r="J40" s="116" t="s">
        <v>130</v>
      </c>
      <c r="K40" s="6"/>
      <c r="L40" s="6"/>
      <c r="M40" s="6"/>
      <c r="N40" s="6"/>
      <c r="O40" s="6"/>
      <c r="P40" s="6"/>
      <c r="Q40" s="6"/>
    </row>
    <row r="41" spans="1:17" ht="20.25" customHeight="1">
      <c r="A41" s="7"/>
      <c r="B41" s="11" t="s">
        <v>142</v>
      </c>
      <c r="C41" s="53">
        <f>VDD_COM*I_VDD_COM/1000+COM_VEE*IQ_VEE/1000/((C26*COM_VEE)/((C26*COM_VEE)/0.82+C39))</f>
        <v>9.7566529958505704E-2</v>
      </c>
      <c r="D41" s="12" t="s">
        <v>18</v>
      </c>
      <c r="E41" s="27"/>
      <c r="F41" s="6"/>
      <c r="G41" s="124"/>
      <c r="H41" s="113">
        <v>0.1</v>
      </c>
      <c r="I41" s="54" t="s">
        <v>8</v>
      </c>
      <c r="J41" s="116" t="s">
        <v>131</v>
      </c>
      <c r="K41" s="6"/>
      <c r="L41" s="6"/>
      <c r="M41" s="6"/>
      <c r="N41" s="6"/>
      <c r="O41" s="6"/>
      <c r="P41" s="6"/>
      <c r="Q41" s="6"/>
    </row>
    <row r="42" spans="1:17" ht="32.85" customHeight="1" thickBot="1">
      <c r="A42" s="7"/>
      <c r="B42" s="45" t="s">
        <v>42</v>
      </c>
      <c r="C42" s="47">
        <f>C40+C41</f>
        <v>0.57496570970953997</v>
      </c>
      <c r="D42" s="14" t="s">
        <v>18</v>
      </c>
      <c r="E42" s="26" t="s">
        <v>121</v>
      </c>
      <c r="F42" s="6"/>
      <c r="G42" s="115" t="s">
        <v>61</v>
      </c>
      <c r="H42" s="55">
        <f>C57</f>
        <v>3.3</v>
      </c>
      <c r="I42" s="54" t="s">
        <v>35</v>
      </c>
      <c r="J42" s="6"/>
      <c r="K42" s="6"/>
      <c r="L42" s="6"/>
      <c r="M42" s="6"/>
      <c r="N42" s="6"/>
      <c r="O42" s="6"/>
      <c r="P42" s="6"/>
      <c r="Q42" s="6"/>
    </row>
    <row r="43" spans="1:17" ht="20.100000000000001" customHeight="1" thickBot="1">
      <c r="A43" s="7"/>
      <c r="B43" s="15"/>
      <c r="C43" s="15"/>
      <c r="D43" s="15"/>
      <c r="E43" s="16"/>
      <c r="F43" s="6"/>
      <c r="G43" s="58" t="s">
        <v>62</v>
      </c>
      <c r="H43" s="54">
        <f>C47</f>
        <v>62</v>
      </c>
      <c r="I43" s="54" t="s">
        <v>11</v>
      </c>
      <c r="J43" s="6"/>
      <c r="K43" s="6"/>
      <c r="L43" s="6"/>
      <c r="M43" s="6"/>
      <c r="N43" s="6"/>
      <c r="O43" s="6"/>
      <c r="P43" s="6"/>
      <c r="Q43" s="6"/>
    </row>
    <row r="44" spans="1:17" ht="20.25">
      <c r="A44" s="7"/>
      <c r="B44" s="154" t="s">
        <v>15</v>
      </c>
      <c r="C44" s="155"/>
      <c r="D44" s="155"/>
      <c r="E44" s="156"/>
      <c r="F44" s="6"/>
      <c r="G44" s="58" t="s">
        <v>63</v>
      </c>
      <c r="H44" s="54">
        <f>R_2</f>
        <v>10</v>
      </c>
      <c r="I44" s="54" t="s">
        <v>11</v>
      </c>
      <c r="J44" s="6"/>
      <c r="K44" s="6"/>
      <c r="L44" s="6"/>
      <c r="M44" s="6"/>
      <c r="N44" s="6"/>
      <c r="O44" s="6"/>
      <c r="P44" s="6"/>
      <c r="Q44" s="6"/>
    </row>
    <row r="45" spans="1:17" ht="21" thickBot="1">
      <c r="A45" s="7"/>
      <c r="B45" s="157"/>
      <c r="C45" s="158"/>
      <c r="D45" s="158"/>
      <c r="E45" s="159"/>
      <c r="F45" s="6"/>
      <c r="G45" s="58" t="s">
        <v>64</v>
      </c>
      <c r="H45" s="55">
        <f>C55</f>
        <v>50</v>
      </c>
      <c r="I45" s="54" t="s">
        <v>11</v>
      </c>
      <c r="J45" s="6"/>
      <c r="K45" s="6"/>
      <c r="L45" s="6"/>
      <c r="M45" s="6"/>
      <c r="N45" s="6"/>
      <c r="O45" s="6"/>
      <c r="P45" s="6"/>
      <c r="Q45" s="6"/>
    </row>
    <row r="46" spans="1:17" ht="24.75" customHeight="1">
      <c r="A46" s="7"/>
      <c r="B46" s="160" t="s">
        <v>29</v>
      </c>
      <c r="C46" s="161"/>
      <c r="D46" s="161"/>
      <c r="E46" s="166"/>
      <c r="F46" s="6"/>
      <c r="G46" s="58"/>
      <c r="H46" s="55"/>
      <c r="I46" s="54"/>
      <c r="J46" s="6"/>
      <c r="K46" s="6"/>
      <c r="L46" s="6"/>
      <c r="M46" s="6"/>
      <c r="N46" s="6"/>
      <c r="O46" s="6"/>
      <c r="P46" s="6"/>
      <c r="Q46" s="6"/>
    </row>
    <row r="47" spans="1:17" ht="33.75" thickBot="1">
      <c r="A47" s="7"/>
      <c r="B47" s="25" t="s">
        <v>48</v>
      </c>
      <c r="C47" s="43">
        <f>R_2*(VDD_COM/2.5-1)</f>
        <v>62</v>
      </c>
      <c r="D47" s="14" t="s">
        <v>11</v>
      </c>
      <c r="E47" s="26" t="s">
        <v>52</v>
      </c>
      <c r="F47" s="6"/>
      <c r="G47" s="58" t="s">
        <v>65</v>
      </c>
      <c r="H47" s="54">
        <v>5.1100000000000003</v>
      </c>
      <c r="I47" s="54" t="s">
        <v>11</v>
      </c>
      <c r="J47" s="6"/>
      <c r="K47" s="6"/>
      <c r="L47" s="6"/>
      <c r="M47" s="6"/>
      <c r="N47" s="6"/>
      <c r="O47" s="6"/>
      <c r="P47" s="6"/>
      <c r="Q47" s="6"/>
    </row>
    <row r="48" spans="1:17" ht="24" customHeight="1">
      <c r="A48" s="7"/>
      <c r="B48" s="160" t="s">
        <v>34</v>
      </c>
      <c r="C48" s="161"/>
      <c r="D48" s="161"/>
      <c r="E48" s="162"/>
      <c r="F48" s="6"/>
      <c r="G48" s="125" t="s">
        <v>66</v>
      </c>
      <c r="H48" s="54">
        <v>10</v>
      </c>
      <c r="I48" s="54" t="s">
        <v>11</v>
      </c>
      <c r="J48" s="116" t="s">
        <v>130</v>
      </c>
      <c r="K48" s="6"/>
      <c r="L48" s="6"/>
      <c r="M48" s="6"/>
      <c r="N48" s="6"/>
      <c r="O48" s="6"/>
      <c r="P48" s="6"/>
      <c r="Q48" s="6"/>
    </row>
    <row r="49" spans="1:17" ht="21" customHeight="1">
      <c r="A49" s="7"/>
      <c r="B49" s="18" t="s">
        <v>39</v>
      </c>
      <c r="C49" s="99">
        <f>Qgtot/((PERCENT_VPP_MAX/100)*VDD_COM)</f>
        <v>6.666666666666667</v>
      </c>
      <c r="D49" s="12" t="s">
        <v>8</v>
      </c>
      <c r="E49" s="44"/>
      <c r="F49" s="6"/>
      <c r="G49" s="126"/>
      <c r="H49" s="54">
        <v>4.99</v>
      </c>
      <c r="I49" s="54" t="s">
        <v>11</v>
      </c>
      <c r="J49" s="116" t="s">
        <v>131</v>
      </c>
      <c r="K49" s="6"/>
      <c r="L49" s="6"/>
      <c r="M49" s="6"/>
      <c r="N49" s="6"/>
      <c r="O49" s="6"/>
      <c r="P49" s="6"/>
      <c r="Q49" s="6"/>
    </row>
    <row r="50" spans="1:17" ht="18.75">
      <c r="A50" s="7"/>
      <c r="B50" s="18" t="s">
        <v>38</v>
      </c>
      <c r="C50" s="109">
        <v>6.8</v>
      </c>
      <c r="D50" s="12" t="s">
        <v>8</v>
      </c>
      <c r="E50" s="24" t="s">
        <v>126</v>
      </c>
      <c r="F50" s="6"/>
      <c r="K50" s="6"/>
      <c r="L50" s="6"/>
      <c r="M50" s="6"/>
      <c r="N50" s="6"/>
      <c r="O50" s="6"/>
      <c r="P50" s="6"/>
      <c r="Q50" s="6"/>
    </row>
    <row r="51" spans="1:17" ht="24" customHeight="1">
      <c r="A51" s="7"/>
      <c r="B51" s="18" t="s">
        <v>40</v>
      </c>
      <c r="C51" s="100">
        <f>Qgtot/((PERCENT_VPP_MAX_VEE/100)*COM_VEE)</f>
        <v>4.8</v>
      </c>
      <c r="D51" s="32" t="s">
        <v>8</v>
      </c>
      <c r="E51" s="24"/>
      <c r="F51" s="6"/>
      <c r="G51" s="1"/>
      <c r="J51" s="6"/>
      <c r="K51" s="6"/>
      <c r="L51" s="6"/>
      <c r="M51" s="6"/>
      <c r="N51" s="6"/>
      <c r="O51" s="6"/>
      <c r="P51" s="6"/>
      <c r="Q51" s="6"/>
    </row>
    <row r="52" spans="1:17" ht="23.25" customHeight="1">
      <c r="A52" s="7"/>
      <c r="B52" s="107" t="s">
        <v>41</v>
      </c>
      <c r="C52" s="109">
        <v>6.8</v>
      </c>
      <c r="D52" s="32" t="s">
        <v>8</v>
      </c>
      <c r="E52" s="24" t="s">
        <v>128</v>
      </c>
      <c r="F52" s="6"/>
      <c r="G52" s="1"/>
      <c r="J52" s="6"/>
      <c r="K52" s="6"/>
      <c r="L52" s="6"/>
      <c r="M52" s="6"/>
      <c r="N52" s="6"/>
      <c r="O52" s="6"/>
      <c r="P52" s="6"/>
      <c r="Q52" s="6"/>
    </row>
    <row r="53" spans="1:17" ht="23.25" customHeight="1" thickBot="1">
      <c r="A53" s="7"/>
      <c r="B53" s="105" t="s">
        <v>115</v>
      </c>
      <c r="C53" s="108">
        <f>1.3/(0.5/(C27*0.82-IQ_VEE)+(COM_VEE-0.5)/(C27-IQ_VEE))-C64</f>
        <v>11.071708536790705</v>
      </c>
      <c r="D53" s="32" t="s">
        <v>8</v>
      </c>
      <c r="E53" s="106" t="s">
        <v>125</v>
      </c>
      <c r="F53" s="6"/>
      <c r="G53" s="1"/>
      <c r="J53" s="6"/>
      <c r="K53" s="6"/>
      <c r="L53" s="6"/>
      <c r="M53" s="6"/>
      <c r="N53" s="6"/>
      <c r="O53" s="6"/>
      <c r="P53" s="6"/>
      <c r="Q53" s="6"/>
    </row>
    <row r="54" spans="1:17" ht="20.25" customHeight="1">
      <c r="A54" s="7"/>
      <c r="B54" s="160" t="s">
        <v>30</v>
      </c>
      <c r="C54" s="161"/>
      <c r="D54" s="161"/>
      <c r="E54" s="162"/>
      <c r="F54" s="6"/>
      <c r="G54" s="1"/>
      <c r="J54" s="6"/>
      <c r="K54" s="6"/>
      <c r="L54" s="6"/>
      <c r="M54" s="6"/>
      <c r="N54" s="6"/>
      <c r="O54" s="6"/>
      <c r="P54" s="6"/>
      <c r="Q54" s="6"/>
    </row>
    <row r="55" spans="1:17" ht="29.25" thickBot="1">
      <c r="A55" s="7"/>
      <c r="B55" s="9" t="s">
        <v>31</v>
      </c>
      <c r="C55" s="103">
        <f>45/4.5*COM_VEE</f>
        <v>50</v>
      </c>
      <c r="D55" s="30" t="s">
        <v>11</v>
      </c>
      <c r="E55" s="31" t="s">
        <v>164</v>
      </c>
      <c r="F55" s="6"/>
      <c r="G55" s="1"/>
      <c r="J55" s="6"/>
      <c r="K55" s="6"/>
      <c r="L55" s="6"/>
      <c r="M55" s="6"/>
      <c r="N55" s="6"/>
      <c r="O55" s="6"/>
      <c r="P55" s="6"/>
      <c r="Q55" s="6"/>
    </row>
    <row r="56" spans="1:17" ht="24.75" customHeight="1">
      <c r="A56" s="7"/>
      <c r="B56" s="160" t="s">
        <v>33</v>
      </c>
      <c r="C56" s="161"/>
      <c r="D56" s="161"/>
      <c r="E56" s="162"/>
      <c r="F56" s="6"/>
      <c r="G56" s="1"/>
      <c r="J56" s="6"/>
      <c r="K56" s="6"/>
      <c r="L56" s="6"/>
      <c r="M56" s="6"/>
      <c r="N56" s="6"/>
      <c r="O56" s="6"/>
      <c r="P56" s="6"/>
      <c r="Q56" s="6"/>
    </row>
    <row r="57" spans="1:17" ht="20.100000000000001" customHeight="1">
      <c r="A57" s="7"/>
      <c r="B57" s="107" t="s">
        <v>122</v>
      </c>
      <c r="C57" s="99">
        <v>3.3</v>
      </c>
      <c r="D57" s="32" t="s">
        <v>35</v>
      </c>
      <c r="E57" s="23" t="s">
        <v>36</v>
      </c>
      <c r="F57" s="6"/>
      <c r="G57" s="1"/>
      <c r="J57" s="6"/>
      <c r="K57" s="6"/>
      <c r="L57" s="6"/>
      <c r="M57" s="6"/>
      <c r="N57" s="6"/>
      <c r="O57" s="6"/>
      <c r="P57" s="6"/>
      <c r="Q57" s="6"/>
    </row>
    <row r="58" spans="1:17" ht="20.100000000000001" customHeight="1" thickBot="1">
      <c r="A58" s="7"/>
      <c r="B58" s="111" t="s">
        <v>123</v>
      </c>
      <c r="C58" s="112">
        <v>350</v>
      </c>
      <c r="D58" s="110" t="s">
        <v>0</v>
      </c>
      <c r="E58" s="33" t="s">
        <v>124</v>
      </c>
      <c r="F58" s="6"/>
      <c r="G58" s="1"/>
      <c r="J58" s="6"/>
      <c r="K58" s="6"/>
      <c r="L58" s="6"/>
      <c r="M58" s="6"/>
      <c r="N58" s="6"/>
      <c r="O58" s="6"/>
      <c r="P58" s="6"/>
      <c r="Q58" s="6"/>
    </row>
    <row r="59" spans="1:17" ht="20.100000000000001" customHeight="1" thickBot="1">
      <c r="A59" s="6"/>
      <c r="B59" s="6"/>
      <c r="C59" s="6"/>
      <c r="D59" s="6"/>
      <c r="E59" s="6"/>
      <c r="F59" s="6"/>
      <c r="G59" s="1"/>
      <c r="J59" s="6"/>
      <c r="K59" s="6"/>
      <c r="L59" s="6"/>
      <c r="M59" s="6"/>
      <c r="N59" s="6"/>
      <c r="O59" s="6"/>
      <c r="P59" s="6"/>
      <c r="Q59" s="6"/>
    </row>
    <row r="60" spans="1:17">
      <c r="A60" s="7"/>
      <c r="B60" s="154" t="s">
        <v>16</v>
      </c>
      <c r="C60" s="155"/>
      <c r="D60" s="155"/>
      <c r="E60" s="156"/>
      <c r="F60" s="6"/>
      <c r="G60" s="1"/>
      <c r="K60" s="6"/>
      <c r="L60" s="6"/>
      <c r="M60" s="6"/>
      <c r="N60" s="6"/>
      <c r="O60" s="6"/>
      <c r="P60" s="6"/>
      <c r="Q60" s="6"/>
    </row>
    <row r="61" spans="1:17" ht="15.75" thickBot="1">
      <c r="A61" s="7"/>
      <c r="B61" s="157"/>
      <c r="C61" s="158"/>
      <c r="D61" s="158"/>
      <c r="E61" s="159"/>
      <c r="F61" s="6"/>
      <c r="G61" s="1"/>
      <c r="K61" s="6"/>
      <c r="L61" s="6"/>
      <c r="M61" s="6"/>
      <c r="N61" s="6"/>
      <c r="O61" s="6"/>
      <c r="P61" s="6"/>
      <c r="Q61" s="6"/>
    </row>
    <row r="62" spans="1:17" ht="20.25" customHeight="1">
      <c r="A62" s="7"/>
      <c r="B62" s="34" t="s">
        <v>14</v>
      </c>
      <c r="C62" s="49" t="s">
        <v>20</v>
      </c>
      <c r="D62" s="50" t="s">
        <v>8</v>
      </c>
      <c r="E62" s="127" t="s">
        <v>134</v>
      </c>
      <c r="F62" s="6"/>
      <c r="G62" s="1"/>
      <c r="K62" s="6"/>
      <c r="L62" s="6"/>
      <c r="M62" s="6"/>
      <c r="N62" s="6"/>
      <c r="O62" s="6"/>
      <c r="P62" s="6"/>
      <c r="Q62" s="6"/>
    </row>
    <row r="63" spans="1:17" ht="20.25" customHeight="1">
      <c r="A63" s="7"/>
      <c r="B63" s="34" t="s">
        <v>87</v>
      </c>
      <c r="C63" s="49" t="s">
        <v>20</v>
      </c>
      <c r="D63" s="36" t="s">
        <v>8</v>
      </c>
      <c r="E63" s="128"/>
      <c r="F63" s="6"/>
      <c r="G63" s="1"/>
      <c r="K63" s="6"/>
      <c r="L63" s="6"/>
      <c r="M63" s="6"/>
      <c r="N63" s="6"/>
      <c r="O63" s="6"/>
      <c r="P63" s="6"/>
      <c r="Q63" s="6"/>
    </row>
    <row r="64" spans="1:17" ht="56.25" customHeight="1">
      <c r="A64" s="7"/>
      <c r="B64" s="9" t="s">
        <v>32</v>
      </c>
      <c r="C64" s="22">
        <v>2.2000000000000002</v>
      </c>
      <c r="D64" s="10" t="s">
        <v>8</v>
      </c>
      <c r="E64" s="48" t="s">
        <v>135</v>
      </c>
      <c r="F64" s="6"/>
      <c r="G64" s="1"/>
      <c r="K64" s="6"/>
      <c r="L64" s="6"/>
      <c r="M64" s="6"/>
      <c r="N64" s="6"/>
      <c r="O64" s="6"/>
      <c r="P64" s="6"/>
      <c r="Q64" s="6"/>
    </row>
    <row r="65" spans="1:17" ht="20.25" customHeight="1">
      <c r="A65" s="7"/>
      <c r="B65" s="9" t="s">
        <v>86</v>
      </c>
      <c r="C65" s="22">
        <v>220</v>
      </c>
      <c r="D65" s="10" t="s">
        <v>7</v>
      </c>
      <c r="E65" s="93" t="s">
        <v>136</v>
      </c>
      <c r="F65" s="6"/>
      <c r="G65" s="1"/>
      <c r="K65" s="6"/>
      <c r="L65" s="6"/>
      <c r="M65" s="6"/>
      <c r="N65" s="6"/>
      <c r="O65" s="6"/>
      <c r="P65" s="6"/>
      <c r="Q65" s="6"/>
    </row>
    <row r="66" spans="1:17" ht="19.5" thickBot="1">
      <c r="A66" s="7"/>
      <c r="B66" s="89" t="s">
        <v>88</v>
      </c>
      <c r="C66" s="90">
        <v>10</v>
      </c>
      <c r="D66" s="91" t="s">
        <v>7</v>
      </c>
      <c r="E66" s="92" t="s">
        <v>136</v>
      </c>
      <c r="F66" s="6"/>
      <c r="G66" s="1"/>
      <c r="K66" s="6"/>
      <c r="L66" s="6"/>
      <c r="M66" s="6"/>
      <c r="N66" s="6"/>
      <c r="O66" s="6"/>
      <c r="P66" s="6"/>
      <c r="Q66" s="6"/>
    </row>
    <row r="67" spans="1:17">
      <c r="A67" s="6"/>
      <c r="B67" s="6"/>
      <c r="C67" s="6"/>
      <c r="D67" s="6"/>
      <c r="E67" s="6"/>
      <c r="F67" s="6"/>
      <c r="G67" s="1"/>
      <c r="K67" s="6"/>
      <c r="L67" s="6"/>
      <c r="M67" s="6"/>
      <c r="N67" s="6"/>
      <c r="O67" s="6"/>
      <c r="P67" s="6"/>
      <c r="Q67" s="6"/>
    </row>
    <row r="68" spans="1:17" ht="19.5">
      <c r="A68" s="6"/>
      <c r="B68" s="104" t="s">
        <v>45</v>
      </c>
      <c r="C68" s="6"/>
      <c r="D68" s="6"/>
      <c r="E68" s="6"/>
      <c r="F68" s="6"/>
      <c r="G68" s="1"/>
      <c r="K68" s="6"/>
      <c r="L68" s="6"/>
      <c r="M68" s="6"/>
      <c r="N68" s="6"/>
      <c r="O68" s="6"/>
      <c r="P68" s="6"/>
      <c r="Q68" s="6"/>
    </row>
    <row r="69" spans="1:17">
      <c r="A69" s="6"/>
      <c r="C69" s="6"/>
      <c r="D69" s="6"/>
      <c r="E69" s="6"/>
      <c r="F69" s="6"/>
      <c r="G69" s="1"/>
      <c r="K69" s="6"/>
      <c r="L69" s="6"/>
      <c r="M69" s="6"/>
      <c r="N69" s="6"/>
      <c r="O69" s="6"/>
      <c r="P69" s="6"/>
      <c r="Q69" s="6"/>
    </row>
    <row r="70" spans="1:17">
      <c r="A70" s="6"/>
      <c r="B70" s="6"/>
      <c r="C70" s="6"/>
      <c r="D70" s="6"/>
      <c r="E70" s="6"/>
      <c r="F70" s="6"/>
      <c r="G70" s="17"/>
      <c r="H70" s="6"/>
      <c r="I70" s="6"/>
      <c r="J70" s="6"/>
      <c r="K70" s="6"/>
      <c r="L70" s="6"/>
      <c r="M70" s="6"/>
      <c r="N70" s="6"/>
      <c r="O70" s="6"/>
      <c r="P70" s="6"/>
      <c r="Q70" s="6"/>
    </row>
  </sheetData>
  <sheetProtection algorithmName="SHA-512" hashValue="H+XWoLhdC3CdaEee+gUnNz5NiZAw8NbrUtD9vuRdnUoHPmiyQJTwJKtIfV/swYp62pOvQRUX7sXmbfgEuaeeWA==" saltValue="MdtcYEFwfGN5AYjpT8Hvsw==" spinCount="100000" sheet="1" selectLockedCells="1"/>
  <mergeCells count="18">
    <mergeCell ref="B54:E54"/>
    <mergeCell ref="B48:E48"/>
    <mergeCell ref="A30:A39"/>
    <mergeCell ref="G40:G41"/>
    <mergeCell ref="G48:G49"/>
    <mergeCell ref="E62:E63"/>
    <mergeCell ref="B1:E1"/>
    <mergeCell ref="B2:E2"/>
    <mergeCell ref="B3:E6"/>
    <mergeCell ref="B7:E7"/>
    <mergeCell ref="B8:E8"/>
    <mergeCell ref="B10:E10"/>
    <mergeCell ref="B11:E12"/>
    <mergeCell ref="B60:E61"/>
    <mergeCell ref="B56:E56"/>
    <mergeCell ref="B9:E9"/>
    <mergeCell ref="B44:E45"/>
    <mergeCell ref="B46:E46"/>
  </mergeCells>
  <conditionalFormatting sqref="C13">
    <cfRule type="expression" dxfId="27" priority="10">
      <formula>$C$13&gt;25.5</formula>
    </cfRule>
  </conditionalFormatting>
  <conditionalFormatting sqref="C26">
    <cfRule type="expression" dxfId="26" priority="7">
      <formula>$C$26&gt;$C$27</formula>
    </cfRule>
  </conditionalFormatting>
  <conditionalFormatting sqref="C42">
    <cfRule type="expression" dxfId="25" priority="6">
      <formula>$C$42&gt;3</formula>
    </cfRule>
  </conditionalFormatting>
  <conditionalFormatting sqref="E13">
    <cfRule type="expression" dxfId="24" priority="3">
      <formula>$C$13&lt;15</formula>
    </cfRule>
    <cfRule type="expression" dxfId="23" priority="4">
      <formula>$C$13&gt;20</formula>
    </cfRule>
  </conditionalFormatting>
  <conditionalFormatting sqref="E14">
    <cfRule type="expression" dxfId="22" priority="1">
      <formula>$C$14&lt;2</formula>
    </cfRule>
    <cfRule type="expression" dxfId="21" priority="2">
      <formula>$C$14&gt;8</formula>
    </cfRule>
  </conditionalFormatting>
  <conditionalFormatting sqref="E26">
    <cfRule type="expression" dxfId="20" priority="12">
      <formula>$C$26&gt;$C$27</formula>
    </cfRule>
  </conditionalFormatting>
  <conditionalFormatting sqref="E50">
    <cfRule type="expression" dxfId="19" priority="15">
      <formula>$C$50&lt;$C$49</formula>
    </cfRule>
  </conditionalFormatting>
  <conditionalFormatting sqref="E51">
    <cfRule type="expression" dxfId="18" priority="19">
      <formula>$C$62&lt;$C$61</formula>
    </cfRule>
  </conditionalFormatting>
  <conditionalFormatting sqref="E53">
    <cfRule type="expression" dxfId="17" priority="17">
      <formula>$C$52&gt;($C$53*0.9)</formula>
    </cfRule>
  </conditionalFormatting>
  <conditionalFormatting sqref="E58">
    <cfRule type="expression" dxfId="16" priority="8">
      <formula>$C$58&lt;350</formula>
    </cfRule>
  </conditionalFormatting>
  <pageMargins left="0.7" right="0.7" top="0.75" bottom="0.75" header="0.3" footer="0.3"/>
  <pageSetup orientation="portrait" r:id="rId1"/>
  <ignoredErrors>
    <ignoredError sqref="C39" unlockedFormula="1"/>
  </ignoredErrors>
  <drawing r:id="rId2"/>
  <legacyDrawing r:id="rId3"/>
  <oleObjects>
    <mc:AlternateContent xmlns:mc="http://schemas.openxmlformats.org/markup-compatibility/2006">
      <mc:Choice Requires="x14">
        <oleObject progId="Visio.Drawing.15" shapeId="1029" r:id="rId4">
          <objectPr defaultSize="0" autoPict="0" r:id="rId5">
            <anchor moveWithCells="1">
              <from>
                <xdr:col>5</xdr:col>
                <xdr:colOff>990600</xdr:colOff>
                <xdr:row>6</xdr:row>
                <xdr:rowOff>114300</xdr:rowOff>
              </from>
              <to>
                <xdr:col>19</xdr:col>
                <xdr:colOff>76200</xdr:colOff>
                <xdr:row>24</xdr:row>
                <xdr:rowOff>257175</xdr:rowOff>
              </to>
            </anchor>
          </objectPr>
        </oleObject>
      </mc:Choice>
      <mc:Fallback>
        <oleObject progId="Visio.Drawing.15"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0D9E-A0A8-4B0E-BA0E-02617F2E120F}">
  <dimension ref="A1:Q43"/>
  <sheetViews>
    <sheetView zoomScaleNormal="100" workbookViewId="0">
      <selection activeCell="C13" sqref="C13"/>
    </sheetView>
  </sheetViews>
  <sheetFormatPr defaultColWidth="9" defaultRowHeight="15"/>
  <cols>
    <col min="1" max="1" width="5" style="1" customWidth="1"/>
    <col min="2" max="2" width="97.7109375" style="1" customWidth="1"/>
    <col min="3" max="3" width="49.28515625" style="1" customWidth="1"/>
    <col min="4" max="4" width="13.85546875" style="1" customWidth="1"/>
    <col min="5" max="5" width="71" style="1" customWidth="1"/>
    <col min="6" max="6" width="17.85546875" style="1" customWidth="1"/>
    <col min="7" max="7" width="28.140625" style="5" bestFit="1" customWidth="1"/>
    <col min="8" max="8" width="10.85546875" style="1" bestFit="1" customWidth="1"/>
    <col min="9" max="9" width="8" style="1" bestFit="1" customWidth="1"/>
    <col min="10" max="10" width="17.85546875" style="1" bestFit="1" customWidth="1"/>
    <col min="11" max="13" width="7.7109375" style="1" customWidth="1"/>
    <col min="14" max="21" width="9" style="1"/>
    <col min="22" max="22" width="28.140625" style="1" bestFit="1" customWidth="1"/>
    <col min="23" max="23" width="33.42578125" style="1" bestFit="1" customWidth="1"/>
    <col min="24" max="24" width="8" style="1" bestFit="1" customWidth="1"/>
    <col min="25" max="16384" width="9" style="1"/>
  </cols>
  <sheetData>
    <row r="1" spans="1:17" ht="30.75" thickBot="1">
      <c r="A1" s="6"/>
      <c r="B1" s="129" t="s">
        <v>137</v>
      </c>
      <c r="C1" s="129"/>
      <c r="D1" s="129"/>
      <c r="E1" s="129"/>
      <c r="F1" s="6"/>
      <c r="G1" s="17"/>
      <c r="H1" s="6"/>
      <c r="I1" s="6"/>
      <c r="J1" s="6"/>
      <c r="K1" s="6"/>
      <c r="L1" s="6"/>
      <c r="M1" s="6"/>
      <c r="N1" s="6"/>
      <c r="O1" s="6"/>
      <c r="P1" s="6"/>
      <c r="Q1" s="6"/>
    </row>
    <row r="2" spans="1:17" ht="15.75">
      <c r="A2" s="6"/>
      <c r="B2" s="130" t="s">
        <v>19</v>
      </c>
      <c r="C2" s="131"/>
      <c r="D2" s="131"/>
      <c r="E2" s="132"/>
      <c r="F2" s="6"/>
      <c r="G2" s="17"/>
      <c r="H2" s="6"/>
      <c r="I2" s="6"/>
      <c r="J2" s="6"/>
      <c r="K2" s="6"/>
      <c r="L2" s="6"/>
      <c r="M2" s="6"/>
      <c r="N2" s="6"/>
      <c r="O2" s="6"/>
      <c r="P2" s="6"/>
      <c r="Q2" s="6"/>
    </row>
    <row r="3" spans="1:17">
      <c r="A3" s="6"/>
      <c r="B3" s="133" t="s">
        <v>1</v>
      </c>
      <c r="C3" s="134"/>
      <c r="D3" s="134"/>
      <c r="E3" s="135"/>
      <c r="F3" s="6"/>
      <c r="G3" s="17"/>
      <c r="H3" s="6"/>
      <c r="I3" s="6"/>
      <c r="J3" s="6"/>
      <c r="K3" s="6"/>
      <c r="L3" s="6"/>
      <c r="M3" s="6"/>
      <c r="N3" s="6"/>
      <c r="O3" s="6"/>
      <c r="P3" s="6"/>
      <c r="Q3" s="6"/>
    </row>
    <row r="4" spans="1:17">
      <c r="A4" s="7"/>
      <c r="B4" s="133"/>
      <c r="C4" s="134"/>
      <c r="D4" s="134"/>
      <c r="E4" s="135"/>
      <c r="F4" s="6"/>
      <c r="G4" s="17"/>
      <c r="H4" s="6"/>
      <c r="I4" s="6"/>
      <c r="J4" s="6"/>
      <c r="K4" s="6"/>
      <c r="L4" s="6"/>
      <c r="M4" s="6"/>
      <c r="N4" s="6"/>
      <c r="O4" s="6"/>
      <c r="P4" s="6"/>
      <c r="Q4" s="6"/>
    </row>
    <row r="5" spans="1:17">
      <c r="A5" s="7"/>
      <c r="B5" s="133"/>
      <c r="C5" s="134"/>
      <c r="D5" s="134"/>
      <c r="E5" s="135"/>
      <c r="F5" s="8"/>
      <c r="G5" s="17"/>
      <c r="H5" s="6"/>
      <c r="I5" s="6"/>
      <c r="J5" s="6"/>
      <c r="K5" s="6"/>
      <c r="L5" s="6"/>
      <c r="M5" s="6"/>
      <c r="N5" s="6"/>
      <c r="O5" s="6"/>
      <c r="P5" s="6"/>
      <c r="Q5" s="6"/>
    </row>
    <row r="6" spans="1:17" ht="15.75" thickBot="1">
      <c r="A6" s="7"/>
      <c r="B6" s="136"/>
      <c r="C6" s="137"/>
      <c r="D6" s="137"/>
      <c r="E6" s="138"/>
      <c r="F6" s="8"/>
      <c r="G6" s="17"/>
      <c r="H6" s="6"/>
      <c r="I6" s="6"/>
      <c r="J6" s="6"/>
      <c r="K6" s="6"/>
      <c r="L6" s="6"/>
      <c r="M6" s="6"/>
      <c r="N6" s="6"/>
      <c r="O6" s="6"/>
      <c r="P6" s="6"/>
      <c r="Q6" s="6"/>
    </row>
    <row r="7" spans="1:17" ht="25.35" customHeight="1">
      <c r="A7" s="7"/>
      <c r="B7" s="139" t="s">
        <v>138</v>
      </c>
      <c r="C7" s="140"/>
      <c r="D7" s="140"/>
      <c r="E7" s="141"/>
      <c r="F7" s="8"/>
      <c r="G7" s="17"/>
      <c r="H7" s="6"/>
      <c r="I7" s="6"/>
      <c r="J7" s="6"/>
      <c r="K7" s="6"/>
      <c r="L7" s="6"/>
      <c r="M7" s="6"/>
      <c r="N7" s="6"/>
      <c r="O7" s="6"/>
      <c r="P7" s="6"/>
      <c r="Q7" s="6"/>
    </row>
    <row r="8" spans="1:17" ht="18">
      <c r="A8" s="7"/>
      <c r="B8" s="142" t="s">
        <v>2</v>
      </c>
      <c r="C8" s="143"/>
      <c r="D8" s="143"/>
      <c r="E8" s="144"/>
      <c r="F8" s="8"/>
      <c r="G8" s="17" t="s">
        <v>96</v>
      </c>
      <c r="H8" s="1">
        <f>C21/VDD_COM*1000+I_VDD_COM</f>
        <v>22.000000000000004</v>
      </c>
      <c r="I8" s="6" t="s">
        <v>0</v>
      </c>
      <c r="J8" s="6"/>
      <c r="K8" s="6"/>
      <c r="L8" s="6"/>
      <c r="M8" s="6"/>
      <c r="N8" s="6"/>
      <c r="O8" s="6"/>
      <c r="P8" s="6"/>
      <c r="Q8" s="6"/>
    </row>
    <row r="9" spans="1:17" ht="18.75" thickBot="1">
      <c r="A9" s="7"/>
      <c r="B9" s="163" t="s">
        <v>24</v>
      </c>
      <c r="C9" s="164"/>
      <c r="D9" s="164"/>
      <c r="E9" s="165"/>
      <c r="F9" s="8"/>
      <c r="G9" s="17"/>
      <c r="H9" s="94"/>
      <c r="I9" s="6"/>
      <c r="J9" s="6"/>
      <c r="K9" s="6"/>
      <c r="L9" s="6"/>
      <c r="M9" s="6"/>
      <c r="N9" s="6"/>
      <c r="O9" s="6"/>
      <c r="P9" s="6"/>
      <c r="Q9" s="6"/>
    </row>
    <row r="10" spans="1:17" ht="33" customHeight="1" thickBot="1">
      <c r="A10" s="7"/>
      <c r="B10" s="145" t="s">
        <v>3</v>
      </c>
      <c r="C10" s="146"/>
      <c r="D10" s="146"/>
      <c r="E10" s="147"/>
      <c r="F10" s="6"/>
      <c r="G10" s="95"/>
      <c r="H10" s="94"/>
      <c r="I10" s="6"/>
      <c r="J10" s="6"/>
      <c r="K10" s="6"/>
      <c r="L10" s="6"/>
      <c r="M10" s="6"/>
      <c r="N10" s="6"/>
      <c r="O10" s="6"/>
      <c r="P10" s="6"/>
      <c r="Q10" s="6"/>
    </row>
    <row r="11" spans="1:17">
      <c r="A11" s="7"/>
      <c r="B11" s="148" t="s">
        <v>4</v>
      </c>
      <c r="C11" s="149"/>
      <c r="D11" s="149"/>
      <c r="E11" s="150"/>
      <c r="F11" s="6"/>
      <c r="G11" s="17"/>
      <c r="H11" s="6"/>
      <c r="I11" s="6"/>
      <c r="J11" s="6"/>
      <c r="K11" s="6"/>
      <c r="L11" s="6"/>
      <c r="M11" s="6"/>
      <c r="N11" s="6"/>
      <c r="O11" s="6"/>
      <c r="P11" s="6"/>
      <c r="Q11" s="6"/>
    </row>
    <row r="12" spans="1:17" ht="15.75" thickBot="1">
      <c r="A12" s="7"/>
      <c r="B12" s="151"/>
      <c r="C12" s="152"/>
      <c r="D12" s="152"/>
      <c r="E12" s="153"/>
      <c r="F12" s="6"/>
      <c r="G12" s="17"/>
      <c r="H12" s="6"/>
      <c r="I12" s="6"/>
      <c r="J12" s="6"/>
      <c r="K12" s="6"/>
      <c r="L12" s="6"/>
      <c r="M12" s="6"/>
      <c r="N12" s="6"/>
      <c r="O12" s="6"/>
      <c r="P12" s="6"/>
      <c r="Q12" s="6"/>
    </row>
    <row r="13" spans="1:17" ht="20.25" customHeight="1">
      <c r="A13" s="7"/>
      <c r="B13" s="42" t="s">
        <v>27</v>
      </c>
      <c r="C13" s="39">
        <v>18</v>
      </c>
      <c r="D13" s="40" t="s">
        <v>5</v>
      </c>
      <c r="E13" s="28" t="s">
        <v>166</v>
      </c>
      <c r="F13" s="6"/>
      <c r="G13" s="17"/>
      <c r="H13" s="6"/>
      <c r="I13" s="6"/>
      <c r="J13" s="6"/>
      <c r="K13" s="6"/>
      <c r="L13" s="6"/>
      <c r="M13" s="6"/>
      <c r="N13" s="6"/>
      <c r="O13" s="6"/>
      <c r="P13" s="6"/>
      <c r="Q13" s="6"/>
    </row>
    <row r="14" spans="1:17" ht="20.25" customHeight="1">
      <c r="A14" s="7"/>
      <c r="B14" s="9" t="s">
        <v>25</v>
      </c>
      <c r="C14" s="2">
        <v>1.2</v>
      </c>
      <c r="D14" s="10" t="s">
        <v>9</v>
      </c>
      <c r="E14" s="23"/>
      <c r="F14" s="6"/>
      <c r="G14" s="17"/>
      <c r="H14" s="6"/>
      <c r="I14" s="6"/>
      <c r="J14" s="6"/>
      <c r="K14" s="6"/>
      <c r="L14" s="6"/>
      <c r="M14" s="6"/>
      <c r="N14" s="6"/>
      <c r="O14" s="6"/>
      <c r="P14" s="6"/>
      <c r="Q14" s="6"/>
    </row>
    <row r="15" spans="1:17" ht="20.25" customHeight="1">
      <c r="A15" s="7"/>
      <c r="B15" s="11" t="s">
        <v>10</v>
      </c>
      <c r="C15" s="3">
        <v>15</v>
      </c>
      <c r="D15" s="12" t="s">
        <v>6</v>
      </c>
      <c r="E15" s="27"/>
      <c r="F15" s="6"/>
      <c r="G15" s="17"/>
      <c r="H15" s="6"/>
      <c r="I15" s="6"/>
      <c r="J15" s="6"/>
      <c r="K15" s="6"/>
      <c r="L15" s="6"/>
      <c r="M15" s="6"/>
      <c r="N15" s="6"/>
      <c r="O15" s="6"/>
      <c r="P15" s="6"/>
      <c r="Q15" s="6"/>
    </row>
    <row r="16" spans="1:17" ht="21" customHeight="1">
      <c r="A16" s="7"/>
      <c r="B16" s="11" t="s">
        <v>44</v>
      </c>
      <c r="C16" s="4">
        <v>4</v>
      </c>
      <c r="D16" s="12" t="s">
        <v>0</v>
      </c>
      <c r="E16" s="28" t="s">
        <v>13</v>
      </c>
      <c r="F16" s="6"/>
      <c r="G16" s="17"/>
      <c r="H16" s="6"/>
      <c r="I16" s="6"/>
      <c r="J16" s="6"/>
      <c r="K16" s="6"/>
      <c r="L16" s="6"/>
      <c r="M16" s="6"/>
      <c r="N16" s="6"/>
      <c r="O16" s="6"/>
      <c r="P16" s="6"/>
      <c r="Q16" s="6"/>
    </row>
    <row r="17" spans="1:17" ht="20.25" customHeight="1">
      <c r="A17" s="7"/>
      <c r="B17" s="13" t="s">
        <v>23</v>
      </c>
      <c r="C17" s="4">
        <v>0</v>
      </c>
      <c r="D17" s="12" t="s">
        <v>0</v>
      </c>
      <c r="E17" s="27"/>
      <c r="F17" s="6"/>
      <c r="J17" s="6"/>
      <c r="K17" s="6"/>
      <c r="L17" s="6"/>
      <c r="M17" s="6"/>
      <c r="N17" s="6"/>
      <c r="O17" s="6"/>
      <c r="P17" s="6"/>
      <c r="Q17" s="6"/>
    </row>
    <row r="18" spans="1:17" ht="20.25" customHeight="1">
      <c r="A18" s="7"/>
      <c r="B18" s="13" t="s">
        <v>26</v>
      </c>
      <c r="C18" s="20">
        <f>IQ_DRIVER_VDD+IQ_OTHER_VDD</f>
        <v>4</v>
      </c>
      <c r="D18" s="12" t="s">
        <v>0</v>
      </c>
      <c r="E18" s="27"/>
      <c r="F18" s="6"/>
      <c r="J18" s="6"/>
      <c r="K18" s="6"/>
      <c r="L18" s="6"/>
      <c r="M18" s="6"/>
      <c r="N18" s="6"/>
      <c r="O18" s="6"/>
      <c r="P18" s="6"/>
      <c r="Q18" s="6"/>
    </row>
    <row r="19" spans="1:17" ht="20.25" customHeight="1">
      <c r="A19" s="7"/>
      <c r="B19" s="11" t="s">
        <v>28</v>
      </c>
      <c r="C19" s="4">
        <v>10</v>
      </c>
      <c r="D19" s="12" t="s">
        <v>11</v>
      </c>
      <c r="E19" s="27"/>
      <c r="F19" s="6"/>
      <c r="G19" s="29"/>
      <c r="H19" s="6"/>
      <c r="I19" s="6"/>
      <c r="J19" s="6"/>
      <c r="K19" s="6"/>
      <c r="L19" s="6"/>
      <c r="M19" s="6"/>
      <c r="N19" s="6"/>
      <c r="O19" s="6"/>
      <c r="P19" s="6"/>
      <c r="Q19" s="6"/>
    </row>
    <row r="20" spans="1:17" ht="20.100000000000001" customHeight="1">
      <c r="A20" s="7"/>
      <c r="B20" s="18" t="s">
        <v>21</v>
      </c>
      <c r="C20" s="4">
        <v>1</v>
      </c>
      <c r="D20" s="19" t="s">
        <v>17</v>
      </c>
      <c r="E20" s="27" t="s">
        <v>22</v>
      </c>
      <c r="F20" s="6"/>
      <c r="G20" s="17"/>
      <c r="H20" s="6"/>
      <c r="I20" s="6"/>
      <c r="J20" s="6"/>
      <c r="K20" s="6"/>
      <c r="L20" s="6"/>
      <c r="M20" s="6"/>
      <c r="N20" s="6"/>
      <c r="O20" s="6"/>
      <c r="P20" s="6"/>
      <c r="Q20" s="6"/>
    </row>
    <row r="21" spans="1:17" ht="20.25" customHeight="1">
      <c r="A21" s="7"/>
      <c r="B21" s="9" t="s">
        <v>49</v>
      </c>
      <c r="C21" s="21">
        <f>(Qgtot*0.000001*VDD_COM*fsw*1000)</f>
        <v>0.32400000000000001</v>
      </c>
      <c r="D21" s="10" t="s">
        <v>18</v>
      </c>
      <c r="E21" s="23"/>
      <c r="F21" s="6"/>
      <c r="G21" s="17"/>
      <c r="H21" s="6"/>
      <c r="I21" s="6"/>
      <c r="J21" s="6"/>
      <c r="K21" s="6"/>
      <c r="L21" s="6"/>
      <c r="M21" s="6"/>
      <c r="N21" s="6"/>
      <c r="O21" s="6"/>
      <c r="P21" s="6"/>
      <c r="Q21" s="6"/>
    </row>
    <row r="22" spans="1:17" ht="20.25" customHeight="1">
      <c r="A22" s="7"/>
      <c r="B22" s="11" t="s">
        <v>100</v>
      </c>
      <c r="C22" s="53">
        <f>VDD_COM*I_VDD_COM/1000</f>
        <v>7.1999999999999995E-2</v>
      </c>
      <c r="D22" s="12" t="s">
        <v>18</v>
      </c>
      <c r="E22" s="27"/>
      <c r="F22" s="6"/>
      <c r="G22" s="17"/>
      <c r="H22" s="6"/>
      <c r="I22" s="6"/>
      <c r="J22" s="6"/>
      <c r="K22" s="6"/>
      <c r="L22" s="6"/>
      <c r="M22" s="6"/>
      <c r="N22" s="6"/>
      <c r="O22" s="6"/>
      <c r="P22" s="6"/>
      <c r="Q22" s="6"/>
    </row>
    <row r="23" spans="1:17" ht="24" customHeight="1" thickBot="1">
      <c r="A23" s="7"/>
      <c r="B23" s="45" t="s">
        <v>42</v>
      </c>
      <c r="C23" s="47">
        <f>C21+C22</f>
        <v>0.39600000000000002</v>
      </c>
      <c r="D23" s="14" t="s">
        <v>18</v>
      </c>
      <c r="E23" s="26" t="s">
        <v>121</v>
      </c>
      <c r="F23" s="6"/>
      <c r="G23" s="17"/>
      <c r="H23" s="6"/>
      <c r="I23" s="6"/>
      <c r="J23" s="6"/>
      <c r="K23" s="6"/>
      <c r="L23" s="6"/>
      <c r="M23" s="6"/>
      <c r="N23" s="6"/>
      <c r="O23" s="6"/>
      <c r="P23" s="6"/>
      <c r="Q23" s="6"/>
    </row>
    <row r="24" spans="1:17" ht="20.100000000000001" customHeight="1" thickBot="1">
      <c r="A24" s="7"/>
      <c r="B24" s="15"/>
      <c r="C24" s="15"/>
      <c r="D24" s="15"/>
      <c r="E24" s="16"/>
      <c r="F24" s="6"/>
      <c r="G24" s="17"/>
      <c r="H24" s="6"/>
      <c r="I24" s="6"/>
      <c r="J24" s="6"/>
      <c r="K24" s="6"/>
      <c r="L24" s="6"/>
      <c r="M24" s="6"/>
      <c r="N24" s="6"/>
      <c r="O24" s="6"/>
      <c r="P24" s="6"/>
      <c r="Q24" s="6"/>
    </row>
    <row r="25" spans="1:17">
      <c r="A25" s="7"/>
      <c r="B25" s="154" t="s">
        <v>15</v>
      </c>
      <c r="C25" s="155"/>
      <c r="D25" s="155"/>
      <c r="E25" s="156"/>
      <c r="F25" s="6"/>
      <c r="G25" s="17"/>
      <c r="H25" s="6"/>
      <c r="I25" s="6"/>
      <c r="J25" s="6"/>
      <c r="K25" s="6"/>
      <c r="L25" s="6"/>
      <c r="M25" s="6"/>
      <c r="N25" s="6"/>
      <c r="O25" s="6"/>
      <c r="P25" s="6"/>
      <c r="Q25" s="6"/>
    </row>
    <row r="26" spans="1:17" ht="15.75" thickBot="1">
      <c r="A26" s="7"/>
      <c r="B26" s="157"/>
      <c r="C26" s="158"/>
      <c r="D26" s="158"/>
      <c r="E26" s="159"/>
      <c r="F26" s="6"/>
      <c r="K26" s="6"/>
      <c r="L26" s="6"/>
      <c r="M26" s="6"/>
      <c r="N26" s="6"/>
      <c r="O26" s="6"/>
      <c r="P26" s="6"/>
      <c r="Q26" s="6"/>
    </row>
    <row r="27" spans="1:17" ht="24.75" customHeight="1">
      <c r="A27" s="7"/>
      <c r="B27" s="160" t="s">
        <v>29</v>
      </c>
      <c r="C27" s="161"/>
      <c r="D27" s="161"/>
      <c r="E27" s="166"/>
      <c r="F27" s="6"/>
      <c r="K27" s="6"/>
      <c r="L27" s="6"/>
      <c r="M27" s="6"/>
      <c r="N27" s="6"/>
      <c r="O27" s="6"/>
      <c r="P27" s="6"/>
      <c r="Q27" s="6"/>
    </row>
    <row r="28" spans="1:17" ht="33.75" thickBot="1">
      <c r="A28" s="7"/>
      <c r="B28" s="25" t="s">
        <v>48</v>
      </c>
      <c r="C28" s="43">
        <f>R_2*(VDD_COM/2.5-1)</f>
        <v>62</v>
      </c>
      <c r="D28" s="14" t="s">
        <v>11</v>
      </c>
      <c r="E28" s="26" t="s">
        <v>52</v>
      </c>
      <c r="F28" s="6"/>
      <c r="G28" s="57" t="s">
        <v>53</v>
      </c>
      <c r="H28" s="57" t="s">
        <v>112</v>
      </c>
      <c r="I28" s="57" t="s">
        <v>47</v>
      </c>
      <c r="J28" s="6"/>
      <c r="K28" s="6"/>
      <c r="L28" s="6"/>
      <c r="M28" s="6"/>
      <c r="N28" s="6"/>
      <c r="O28" s="6"/>
      <c r="P28" s="6"/>
      <c r="Q28" s="6"/>
    </row>
    <row r="29" spans="1:17" ht="24" customHeight="1">
      <c r="A29" s="7"/>
      <c r="B29" s="160" t="s">
        <v>103</v>
      </c>
      <c r="C29" s="161"/>
      <c r="D29" s="161"/>
      <c r="E29" s="162"/>
      <c r="F29" s="6"/>
      <c r="G29" s="58" t="s">
        <v>54</v>
      </c>
      <c r="H29" s="54" t="s">
        <v>20</v>
      </c>
      <c r="I29" s="54" t="s">
        <v>8</v>
      </c>
      <c r="J29" s="6"/>
      <c r="K29" s="6"/>
      <c r="L29" s="6"/>
      <c r="M29" s="6"/>
      <c r="N29" s="6"/>
      <c r="O29" s="6"/>
      <c r="P29" s="6"/>
      <c r="Q29" s="6"/>
    </row>
    <row r="30" spans="1:17" ht="19.5" customHeight="1">
      <c r="A30" s="7"/>
      <c r="B30" s="18" t="s">
        <v>102</v>
      </c>
      <c r="C30" s="99">
        <f>Qgtot/((PERCENT_VPP_MAX/100)*VDD_COM)</f>
        <v>6.666666666666667</v>
      </c>
      <c r="D30" s="12" t="s">
        <v>8</v>
      </c>
      <c r="E30" s="44"/>
      <c r="F30" s="6"/>
      <c r="G30" s="58" t="s">
        <v>55</v>
      </c>
      <c r="H30" s="54" t="s">
        <v>20</v>
      </c>
      <c r="I30" s="54" t="s">
        <v>8</v>
      </c>
      <c r="J30" s="6"/>
      <c r="K30" s="6"/>
      <c r="L30" s="6"/>
      <c r="M30" s="6"/>
      <c r="N30" s="6"/>
      <c r="O30" s="6"/>
      <c r="P30" s="6"/>
      <c r="Q30" s="6"/>
    </row>
    <row r="31" spans="1:17" ht="21" thickBot="1">
      <c r="A31" s="7"/>
      <c r="B31" s="18" t="s">
        <v>101</v>
      </c>
      <c r="C31" s="109">
        <v>6.8</v>
      </c>
      <c r="D31" s="12" t="s">
        <v>8</v>
      </c>
      <c r="E31" s="24" t="s">
        <v>127</v>
      </c>
      <c r="F31" s="6"/>
      <c r="G31" s="58" t="s">
        <v>104</v>
      </c>
      <c r="H31" s="54">
        <f>C31</f>
        <v>6.8</v>
      </c>
      <c r="I31" s="54" t="s">
        <v>8</v>
      </c>
      <c r="J31" s="6"/>
      <c r="K31" s="6"/>
      <c r="L31" s="6"/>
      <c r="M31" s="6"/>
      <c r="N31" s="6"/>
      <c r="O31" s="6"/>
      <c r="P31" s="6"/>
      <c r="Q31" s="6"/>
    </row>
    <row r="32" spans="1:17" ht="23.25" customHeight="1">
      <c r="A32" s="7"/>
      <c r="B32" s="160" t="s">
        <v>30</v>
      </c>
      <c r="C32" s="161"/>
      <c r="D32" s="161"/>
      <c r="E32" s="166"/>
      <c r="F32" s="6"/>
      <c r="G32" s="58" t="s">
        <v>59</v>
      </c>
      <c r="H32" s="54">
        <f>C39</f>
        <v>220</v>
      </c>
      <c r="I32" s="54" t="s">
        <v>7</v>
      </c>
      <c r="J32" s="6"/>
      <c r="K32" s="6"/>
      <c r="L32" s="6"/>
      <c r="M32" s="6"/>
      <c r="N32" s="6"/>
      <c r="O32" s="6"/>
      <c r="P32" s="6"/>
      <c r="Q32" s="6"/>
    </row>
    <row r="33" spans="1:17" ht="29.25" thickBot="1">
      <c r="A33" s="7"/>
      <c r="B33" s="45" t="s">
        <v>31</v>
      </c>
      <c r="C33" s="97">
        <v>330</v>
      </c>
      <c r="D33" s="98" t="s">
        <v>11</v>
      </c>
      <c r="E33" s="65" t="s">
        <v>99</v>
      </c>
      <c r="F33" s="6"/>
      <c r="G33" s="114" t="s">
        <v>60</v>
      </c>
      <c r="H33" s="54">
        <v>0.1</v>
      </c>
      <c r="I33" s="54" t="s">
        <v>8</v>
      </c>
      <c r="J33" s="6"/>
      <c r="K33" s="6"/>
      <c r="L33" s="6"/>
      <c r="M33" s="6"/>
      <c r="N33" s="6"/>
      <c r="O33" s="6"/>
      <c r="P33" s="6"/>
      <c r="Q33" s="6"/>
    </row>
    <row r="34" spans="1:17" ht="20.100000000000001" customHeight="1" thickBot="1">
      <c r="A34" s="6"/>
      <c r="B34" s="6"/>
      <c r="C34" s="6"/>
      <c r="D34" s="6"/>
      <c r="E34" s="6"/>
      <c r="F34" s="6"/>
      <c r="G34" s="123" t="s">
        <v>111</v>
      </c>
      <c r="H34" s="113">
        <v>1</v>
      </c>
      <c r="I34" s="54" t="s">
        <v>8</v>
      </c>
      <c r="J34" s="116" t="s">
        <v>130</v>
      </c>
      <c r="K34" s="6"/>
      <c r="L34" s="6"/>
      <c r="M34" s="6"/>
      <c r="N34" s="6"/>
      <c r="O34" s="6"/>
      <c r="P34" s="6"/>
      <c r="Q34" s="6"/>
    </row>
    <row r="35" spans="1:17" ht="18.75">
      <c r="A35" s="7"/>
      <c r="B35" s="154" t="s">
        <v>16</v>
      </c>
      <c r="C35" s="155"/>
      <c r="D35" s="155"/>
      <c r="E35" s="156"/>
      <c r="F35" s="6"/>
      <c r="G35" s="124"/>
      <c r="H35" s="113">
        <v>0.1</v>
      </c>
      <c r="I35" s="54" t="s">
        <v>8</v>
      </c>
      <c r="J35" s="116" t="s">
        <v>131</v>
      </c>
      <c r="K35" s="6"/>
      <c r="L35" s="6"/>
      <c r="M35" s="6"/>
      <c r="N35" s="6"/>
      <c r="O35" s="6"/>
      <c r="P35" s="6"/>
      <c r="Q35" s="6"/>
    </row>
    <row r="36" spans="1:17" ht="21" thickBot="1">
      <c r="A36" s="7"/>
      <c r="B36" s="157"/>
      <c r="C36" s="158"/>
      <c r="D36" s="158"/>
      <c r="E36" s="159"/>
      <c r="F36" s="6"/>
      <c r="G36" s="115" t="s">
        <v>62</v>
      </c>
      <c r="H36" s="54">
        <f>C28</f>
        <v>62</v>
      </c>
      <c r="I36" s="54" t="s">
        <v>11</v>
      </c>
      <c r="J36" s="6"/>
      <c r="K36" s="6"/>
      <c r="L36" s="6"/>
      <c r="M36" s="6"/>
      <c r="N36" s="6"/>
      <c r="O36" s="6"/>
      <c r="P36" s="6"/>
      <c r="Q36" s="6"/>
    </row>
    <row r="37" spans="1:17" ht="20.25" customHeight="1">
      <c r="A37" s="7"/>
      <c r="B37" s="34" t="s">
        <v>14</v>
      </c>
      <c r="C37" s="49" t="s">
        <v>20</v>
      </c>
      <c r="D37" s="50" t="s">
        <v>8</v>
      </c>
      <c r="E37" s="167" t="s">
        <v>134</v>
      </c>
      <c r="F37" s="6"/>
      <c r="G37" s="58" t="s">
        <v>63</v>
      </c>
      <c r="H37" s="54">
        <f>R_2</f>
        <v>10</v>
      </c>
      <c r="I37" s="54" t="s">
        <v>11</v>
      </c>
      <c r="J37" s="6"/>
      <c r="K37" s="6"/>
      <c r="L37" s="6"/>
      <c r="M37" s="6"/>
      <c r="N37" s="6"/>
      <c r="O37" s="6"/>
      <c r="P37" s="6"/>
      <c r="Q37" s="6"/>
    </row>
    <row r="38" spans="1:17" ht="20.25" customHeight="1">
      <c r="A38" s="7"/>
      <c r="B38" s="34" t="s">
        <v>87</v>
      </c>
      <c r="C38" s="49" t="s">
        <v>20</v>
      </c>
      <c r="D38" s="36" t="s">
        <v>8</v>
      </c>
      <c r="E38" s="128"/>
      <c r="F38" s="6"/>
      <c r="G38" s="58" t="s">
        <v>64</v>
      </c>
      <c r="H38" s="56">
        <f>C33</f>
        <v>330</v>
      </c>
      <c r="I38" s="54" t="s">
        <v>11</v>
      </c>
      <c r="J38" s="6"/>
      <c r="K38" s="6"/>
      <c r="L38" s="6"/>
      <c r="M38" s="6"/>
      <c r="N38" s="6"/>
      <c r="O38" s="6"/>
      <c r="P38" s="6"/>
      <c r="Q38" s="6"/>
    </row>
    <row r="39" spans="1:17" ht="20.25" customHeight="1" thickBot="1">
      <c r="A39" s="7"/>
      <c r="B39" s="45" t="s">
        <v>86</v>
      </c>
      <c r="C39" s="43">
        <v>220</v>
      </c>
      <c r="D39" s="14" t="s">
        <v>7</v>
      </c>
      <c r="E39" s="96" t="s">
        <v>136</v>
      </c>
      <c r="F39" s="6"/>
      <c r="G39" s="58" t="s">
        <v>65</v>
      </c>
      <c r="H39" s="54">
        <v>5.1100000000000003</v>
      </c>
      <c r="I39" s="54" t="s">
        <v>11</v>
      </c>
      <c r="J39" s="6"/>
      <c r="K39" s="6"/>
      <c r="L39" s="6"/>
      <c r="M39" s="6"/>
      <c r="N39" s="6"/>
      <c r="O39" s="6"/>
      <c r="P39" s="6"/>
      <c r="Q39" s="6"/>
    </row>
    <row r="40" spans="1:17" ht="18.75">
      <c r="A40" s="6"/>
      <c r="B40" s="6"/>
      <c r="C40" s="6"/>
      <c r="D40" s="6"/>
      <c r="E40" s="6"/>
      <c r="F40" s="6"/>
      <c r="G40" s="125" t="s">
        <v>66</v>
      </c>
      <c r="H40" s="54">
        <v>10</v>
      </c>
      <c r="I40" s="54" t="s">
        <v>11</v>
      </c>
      <c r="J40" s="116" t="s">
        <v>130</v>
      </c>
      <c r="K40" s="6"/>
      <c r="L40" s="6"/>
      <c r="M40" s="6"/>
      <c r="N40" s="6"/>
      <c r="O40" s="6"/>
      <c r="P40" s="6"/>
      <c r="Q40" s="6"/>
    </row>
    <row r="41" spans="1:17" ht="19.5">
      <c r="A41" s="6"/>
      <c r="B41" s="104" t="s">
        <v>45</v>
      </c>
      <c r="C41" s="6"/>
      <c r="D41" s="6"/>
      <c r="E41" s="6"/>
      <c r="F41" s="6"/>
      <c r="G41" s="126"/>
      <c r="H41" s="54">
        <v>4.99</v>
      </c>
      <c r="I41" s="54" t="s">
        <v>11</v>
      </c>
      <c r="J41" s="116" t="s">
        <v>131</v>
      </c>
      <c r="K41" s="6"/>
      <c r="L41" s="6"/>
      <c r="M41" s="6"/>
      <c r="N41" s="6"/>
      <c r="O41" s="6"/>
      <c r="P41" s="6"/>
      <c r="Q41" s="6"/>
    </row>
    <row r="42" spans="1:17">
      <c r="A42" s="6"/>
      <c r="C42" s="6"/>
      <c r="D42" s="6"/>
      <c r="E42" s="6"/>
      <c r="F42" s="6"/>
      <c r="G42" s="17"/>
      <c r="H42" s="6"/>
      <c r="I42" s="6"/>
      <c r="J42" s="6"/>
      <c r="K42" s="6"/>
      <c r="L42" s="6"/>
      <c r="M42" s="6"/>
      <c r="N42" s="6"/>
      <c r="O42" s="6"/>
      <c r="P42" s="6"/>
      <c r="Q42" s="6"/>
    </row>
    <row r="43" spans="1:17">
      <c r="A43" s="6"/>
      <c r="B43" s="6"/>
      <c r="C43" s="6"/>
      <c r="D43" s="6"/>
      <c r="E43" s="6"/>
      <c r="F43" s="6"/>
      <c r="G43" s="17"/>
      <c r="H43" s="6"/>
      <c r="I43" s="6"/>
      <c r="J43" s="6"/>
      <c r="K43" s="6"/>
      <c r="L43" s="6"/>
      <c r="M43" s="6"/>
      <c r="N43" s="6"/>
      <c r="O43" s="6"/>
      <c r="P43" s="6"/>
      <c r="Q43" s="6"/>
    </row>
  </sheetData>
  <sheetProtection algorithmName="SHA-512" hashValue="J5bXPpCWoHK9qydbWj2qiBqDm50M8tz/zju9XpnjyFBCmFllbw7kN67RmtjcDMXn/0dbGFrfMAfe6NT920qsyw==" saltValue="DoBxLQxa8re9zyvukLCN0g==" spinCount="100000" sheet="1" selectLockedCells="1"/>
  <mergeCells count="16">
    <mergeCell ref="G40:G41"/>
    <mergeCell ref="G34:G35"/>
    <mergeCell ref="B9:E9"/>
    <mergeCell ref="B1:E1"/>
    <mergeCell ref="B2:E2"/>
    <mergeCell ref="B3:E6"/>
    <mergeCell ref="B7:E7"/>
    <mergeCell ref="B8:E8"/>
    <mergeCell ref="B35:E36"/>
    <mergeCell ref="E37:E38"/>
    <mergeCell ref="B10:E10"/>
    <mergeCell ref="B11:E12"/>
    <mergeCell ref="B25:E26"/>
    <mergeCell ref="B27:E27"/>
    <mergeCell ref="B29:E29"/>
    <mergeCell ref="B32:E32"/>
  </mergeCells>
  <conditionalFormatting sqref="B14:B17 D14:E17">
    <cfRule type="expression" dxfId="15" priority="49">
      <formula>$C$23&gt;#REF!</formula>
    </cfRule>
  </conditionalFormatting>
  <conditionalFormatting sqref="C13">
    <cfRule type="expression" dxfId="14" priority="6">
      <formula>$C$13&gt;25.5</formula>
    </cfRule>
  </conditionalFormatting>
  <conditionalFormatting sqref="C23">
    <cfRule type="expression" dxfId="13" priority="5">
      <formula>$C$23&gt;3</formula>
    </cfRule>
  </conditionalFormatting>
  <conditionalFormatting sqref="D33:E33">
    <cfRule type="expression" dxfId="12" priority="13">
      <formula>#REF!&lt;2.5</formula>
    </cfRule>
    <cfRule type="expression" dxfId="11" priority="14">
      <formula>#REF!=2.5</formula>
    </cfRule>
  </conditionalFormatting>
  <conditionalFormatting sqref="E13">
    <cfRule type="expression" dxfId="10" priority="1">
      <formula>$C$13&lt;15</formula>
    </cfRule>
    <cfRule type="expression" dxfId="9" priority="2">
      <formula>$C$13&gt;20</formula>
    </cfRule>
  </conditionalFormatting>
  <conditionalFormatting sqref="E31">
    <cfRule type="expression" dxfId="8" priority="8">
      <formula>$C$31&lt;$C$30</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3077" r:id="rId4">
          <objectPr defaultSize="0" autoPict="0" r:id="rId5">
            <anchor moveWithCells="1">
              <from>
                <xdr:col>5</xdr:col>
                <xdr:colOff>1123950</xdr:colOff>
                <xdr:row>6</xdr:row>
                <xdr:rowOff>114300</xdr:rowOff>
              </from>
              <to>
                <xdr:col>17</xdr:col>
                <xdr:colOff>561975</xdr:colOff>
                <xdr:row>22</xdr:row>
                <xdr:rowOff>209550</xdr:rowOff>
              </to>
            </anchor>
          </objectPr>
        </oleObject>
      </mc:Choice>
      <mc:Fallback>
        <oleObject progId="Visio.Drawing.15" shapeId="307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F83E-E070-4297-826A-8BF96635C5FF}">
  <dimension ref="A1:Q52"/>
  <sheetViews>
    <sheetView zoomScale="85" zoomScaleNormal="85" workbookViewId="0">
      <selection activeCell="C13" sqref="C13"/>
    </sheetView>
  </sheetViews>
  <sheetFormatPr defaultColWidth="9" defaultRowHeight="15"/>
  <cols>
    <col min="1" max="1" width="5" style="1" customWidth="1"/>
    <col min="2" max="2" width="97.7109375" style="1" customWidth="1"/>
    <col min="3" max="3" width="49.28515625" style="1" customWidth="1"/>
    <col min="4" max="4" width="13.85546875" style="1" customWidth="1"/>
    <col min="5" max="5" width="76.85546875" style="1" customWidth="1"/>
    <col min="6" max="6" width="17.85546875" style="1" customWidth="1"/>
    <col min="7" max="7" width="23.7109375" style="5" customWidth="1"/>
    <col min="8" max="9" width="7.7109375" style="1" customWidth="1"/>
    <col min="10" max="10" width="32" style="1" customWidth="1"/>
    <col min="11" max="13" width="7.7109375" style="1" customWidth="1"/>
    <col min="14" max="16384" width="9" style="1"/>
  </cols>
  <sheetData>
    <row r="1" spans="1:17" ht="30.75" thickBot="1">
      <c r="B1" s="129" t="s">
        <v>110</v>
      </c>
      <c r="C1" s="129"/>
      <c r="D1" s="129"/>
      <c r="E1" s="129"/>
    </row>
    <row r="2" spans="1:17" ht="15.75">
      <c r="A2" s="6"/>
      <c r="B2" s="130" t="s">
        <v>19</v>
      </c>
      <c r="C2" s="131"/>
      <c r="D2" s="131"/>
      <c r="E2" s="132"/>
      <c r="F2" s="6"/>
      <c r="G2" s="17"/>
      <c r="H2" s="6"/>
      <c r="I2" s="6"/>
      <c r="J2" s="6"/>
      <c r="K2" s="6"/>
      <c r="L2" s="6"/>
      <c r="M2" s="6"/>
      <c r="N2" s="6"/>
      <c r="O2" s="6"/>
      <c r="P2" s="6"/>
      <c r="Q2" s="6"/>
    </row>
    <row r="3" spans="1:17">
      <c r="A3" s="6"/>
      <c r="B3" s="133" t="s">
        <v>1</v>
      </c>
      <c r="C3" s="134"/>
      <c r="D3" s="134"/>
      <c r="E3" s="135"/>
      <c r="F3" s="6"/>
      <c r="G3" s="17"/>
      <c r="H3" s="6"/>
      <c r="I3" s="6"/>
      <c r="J3" s="6"/>
      <c r="K3" s="6"/>
      <c r="L3" s="6"/>
      <c r="M3" s="6"/>
      <c r="N3" s="6"/>
      <c r="O3" s="6"/>
      <c r="P3" s="6"/>
      <c r="Q3" s="6"/>
    </row>
    <row r="4" spans="1:17">
      <c r="A4" s="7"/>
      <c r="B4" s="133"/>
      <c r="C4" s="134"/>
      <c r="D4" s="134"/>
      <c r="E4" s="135"/>
      <c r="F4" s="6"/>
      <c r="G4" s="17"/>
      <c r="H4" s="6"/>
      <c r="I4" s="6"/>
      <c r="J4" s="6"/>
      <c r="K4" s="6"/>
      <c r="L4" s="6"/>
      <c r="M4" s="6"/>
      <c r="N4" s="6"/>
      <c r="O4" s="6"/>
      <c r="P4" s="6"/>
      <c r="Q4" s="6"/>
    </row>
    <row r="5" spans="1:17">
      <c r="A5" s="7"/>
      <c r="B5" s="133"/>
      <c r="C5" s="134"/>
      <c r="D5" s="134"/>
      <c r="E5" s="135"/>
      <c r="F5" s="8"/>
      <c r="G5" s="17"/>
      <c r="H5" s="6"/>
      <c r="I5" s="6"/>
      <c r="J5" s="6"/>
      <c r="K5" s="6"/>
      <c r="L5" s="6"/>
      <c r="M5" s="6"/>
      <c r="N5" s="6"/>
      <c r="O5" s="6"/>
      <c r="P5" s="6"/>
      <c r="Q5" s="6"/>
    </row>
    <row r="6" spans="1:17" ht="15.75" thickBot="1">
      <c r="A6" s="7"/>
      <c r="B6" s="136"/>
      <c r="C6" s="137"/>
      <c r="D6" s="137"/>
      <c r="E6" s="138"/>
      <c r="F6" s="8"/>
      <c r="G6" s="17"/>
      <c r="H6" s="6"/>
      <c r="I6" s="6"/>
      <c r="J6" s="6"/>
      <c r="K6" s="6"/>
      <c r="L6" s="6"/>
      <c r="M6" s="6"/>
      <c r="N6" s="6"/>
      <c r="O6" s="6"/>
      <c r="P6" s="6"/>
      <c r="Q6" s="6"/>
    </row>
    <row r="7" spans="1:17" ht="25.35" customHeight="1">
      <c r="A7" s="7"/>
      <c r="B7" s="139" t="s">
        <v>138</v>
      </c>
      <c r="C7" s="140"/>
      <c r="D7" s="140"/>
      <c r="E7" s="141"/>
      <c r="F7" s="8"/>
      <c r="G7" s="17"/>
      <c r="H7" s="6"/>
      <c r="I7" s="6"/>
      <c r="J7" s="6"/>
      <c r="K7" s="6"/>
      <c r="L7" s="6"/>
      <c r="M7" s="6"/>
      <c r="N7" s="6"/>
      <c r="O7" s="6"/>
      <c r="P7" s="6"/>
      <c r="Q7" s="6"/>
    </row>
    <row r="8" spans="1:17" ht="18">
      <c r="A8" s="7"/>
      <c r="B8" s="142" t="s">
        <v>2</v>
      </c>
      <c r="C8" s="143"/>
      <c r="D8" s="143"/>
      <c r="E8" s="144"/>
      <c r="F8" s="8"/>
      <c r="G8" s="17"/>
      <c r="H8" s="6"/>
      <c r="I8" s="6"/>
      <c r="J8" s="6"/>
      <c r="K8" s="6"/>
      <c r="L8"/>
      <c r="M8" s="6"/>
      <c r="N8" s="6"/>
      <c r="O8" s="6"/>
      <c r="P8" s="6"/>
      <c r="Q8" s="6"/>
    </row>
    <row r="9" spans="1:17" ht="18.75" thickBot="1">
      <c r="A9" s="7"/>
      <c r="B9" s="163" t="s">
        <v>24</v>
      </c>
      <c r="C9" s="164"/>
      <c r="D9" s="164"/>
      <c r="E9" s="165"/>
      <c r="F9" s="8"/>
      <c r="G9" s="17"/>
      <c r="H9" s="6"/>
      <c r="I9" s="6"/>
      <c r="J9" s="6"/>
      <c r="K9" s="6"/>
      <c r="L9" s="6"/>
      <c r="M9" s="6"/>
      <c r="N9" s="6"/>
      <c r="O9" s="6"/>
      <c r="P9" s="6"/>
      <c r="Q9" s="6"/>
    </row>
    <row r="10" spans="1:17" ht="33" customHeight="1" thickBot="1">
      <c r="A10" s="7"/>
      <c r="B10" s="145" t="s">
        <v>3</v>
      </c>
      <c r="C10" s="146"/>
      <c r="D10" s="146"/>
      <c r="E10" s="147"/>
      <c r="F10" s="6"/>
      <c r="G10" s="17"/>
      <c r="H10" s="6"/>
      <c r="I10"/>
      <c r="J10" s="6"/>
      <c r="K10" s="6"/>
      <c r="L10" s="6"/>
      <c r="M10" s="6"/>
      <c r="N10" s="6"/>
      <c r="O10" s="6"/>
      <c r="P10" s="6"/>
      <c r="Q10" s="6"/>
    </row>
    <row r="11" spans="1:17">
      <c r="A11" s="7"/>
      <c r="B11" s="148" t="s">
        <v>4</v>
      </c>
      <c r="C11" s="149"/>
      <c r="D11" s="149"/>
      <c r="E11" s="150"/>
      <c r="F11" s="6"/>
      <c r="G11" s="17"/>
      <c r="H11" s="6"/>
      <c r="I11" s="6"/>
      <c r="J11" s="6"/>
      <c r="K11" s="6"/>
      <c r="L11" s="6"/>
      <c r="M11" s="6"/>
      <c r="N11" s="6"/>
      <c r="O11" s="6"/>
      <c r="P11" s="6"/>
      <c r="Q11" s="6"/>
    </row>
    <row r="12" spans="1:17" ht="15.75" thickBot="1">
      <c r="A12" s="7"/>
      <c r="B12" s="151"/>
      <c r="C12" s="152"/>
      <c r="D12" s="152"/>
      <c r="E12" s="153"/>
      <c r="F12" s="6"/>
      <c r="G12" s="17"/>
      <c r="H12" s="6"/>
      <c r="I12" s="6"/>
      <c r="J12" s="6"/>
      <c r="K12" s="6"/>
      <c r="L12" s="6"/>
      <c r="M12" s="6"/>
      <c r="N12" s="6"/>
      <c r="O12" s="6"/>
      <c r="P12" s="6"/>
      <c r="Q12" s="6"/>
    </row>
    <row r="13" spans="1:17" ht="20.25" customHeight="1">
      <c r="A13" s="7"/>
      <c r="B13" s="60" t="s">
        <v>90</v>
      </c>
      <c r="C13" s="39">
        <v>17</v>
      </c>
      <c r="D13" s="40" t="s">
        <v>5</v>
      </c>
      <c r="E13" s="41"/>
      <c r="F13" s="6"/>
      <c r="G13" s="17"/>
      <c r="H13" s="6"/>
      <c r="I13" s="6"/>
      <c r="J13" s="6"/>
      <c r="K13" s="6"/>
      <c r="L13" s="6"/>
      <c r="M13" s="6"/>
      <c r="N13" s="6"/>
      <c r="O13" s="6"/>
      <c r="P13" s="6"/>
      <c r="Q13" s="6"/>
    </row>
    <row r="14" spans="1:17" ht="20.25" customHeight="1">
      <c r="A14" s="7"/>
      <c r="B14" s="72" t="s">
        <v>77</v>
      </c>
      <c r="C14" s="73">
        <f>C13*90%</f>
        <v>15.3</v>
      </c>
      <c r="D14" s="74" t="s">
        <v>5</v>
      </c>
      <c r="E14" s="75"/>
      <c r="F14" s="6"/>
      <c r="G14" s="17"/>
      <c r="H14" s="6"/>
      <c r="I14" s="6"/>
      <c r="J14" s="6"/>
      <c r="K14" s="6"/>
      <c r="L14" s="6"/>
      <c r="M14" s="6"/>
      <c r="N14" s="6"/>
      <c r="O14" s="6"/>
      <c r="P14" s="6"/>
      <c r="Q14" s="6"/>
    </row>
    <row r="15" spans="1:17" ht="20.25" customHeight="1">
      <c r="A15" s="7"/>
      <c r="B15" s="72" t="s">
        <v>78</v>
      </c>
      <c r="C15" s="73">
        <f>C13*(1+20%)</f>
        <v>20.399999999999999</v>
      </c>
      <c r="D15" s="74" t="s">
        <v>5</v>
      </c>
      <c r="E15" s="75"/>
      <c r="F15" s="6"/>
      <c r="G15" s="17"/>
      <c r="H15" s="6"/>
      <c r="I15" s="6"/>
      <c r="J15" s="6"/>
      <c r="K15" s="6"/>
      <c r="L15" s="6"/>
      <c r="M15" s="6"/>
      <c r="N15" s="6"/>
      <c r="O15" s="6"/>
      <c r="P15" s="6"/>
      <c r="Q15" s="6"/>
    </row>
    <row r="16" spans="1:17" ht="20.25" customHeight="1">
      <c r="A16" s="7"/>
      <c r="B16" s="72" t="s">
        <v>76</v>
      </c>
      <c r="C16" s="73">
        <v>20</v>
      </c>
      <c r="D16" s="76" t="s">
        <v>68</v>
      </c>
      <c r="E16" s="75"/>
      <c r="F16" s="6"/>
      <c r="G16" s="17"/>
      <c r="H16" s="6"/>
      <c r="I16" s="6"/>
      <c r="J16" s="6"/>
      <c r="K16" s="6"/>
      <c r="L16" s="6"/>
      <c r="M16" s="6"/>
      <c r="N16" s="6"/>
      <c r="O16" s="6"/>
      <c r="P16" s="6"/>
      <c r="Q16" s="6"/>
    </row>
    <row r="17" spans="1:17" ht="20.25" customHeight="1">
      <c r="A17" s="7"/>
      <c r="B17" s="72" t="s">
        <v>105</v>
      </c>
      <c r="C17" s="73">
        <v>1</v>
      </c>
      <c r="D17" s="76" t="s">
        <v>74</v>
      </c>
      <c r="E17" s="75"/>
      <c r="F17" s="6"/>
      <c r="G17" s="17"/>
      <c r="H17" s="6"/>
      <c r="I17" s="6"/>
      <c r="J17" s="6"/>
      <c r="K17" s="6"/>
      <c r="L17" s="6"/>
      <c r="M17" s="6"/>
      <c r="N17" s="6"/>
      <c r="O17" s="6"/>
      <c r="P17" s="6"/>
      <c r="Q17" s="6"/>
    </row>
    <row r="18" spans="1:17" ht="20.25" customHeight="1" thickBot="1">
      <c r="A18" s="7"/>
      <c r="B18" s="59" t="s">
        <v>106</v>
      </c>
      <c r="C18" s="69">
        <v>2.5</v>
      </c>
      <c r="D18" s="70" t="s">
        <v>74</v>
      </c>
      <c r="E18" s="71"/>
      <c r="F18" s="6"/>
      <c r="G18" s="17"/>
      <c r="H18" s="6"/>
      <c r="I18" s="6"/>
      <c r="J18" s="6"/>
      <c r="K18" s="6"/>
      <c r="L18" s="6"/>
      <c r="M18" s="6"/>
      <c r="N18" s="6"/>
      <c r="O18" s="6"/>
      <c r="P18" s="6"/>
      <c r="Q18" s="6"/>
    </row>
    <row r="19" spans="1:17" ht="19.5" customHeight="1" thickBot="1">
      <c r="A19" s="7"/>
      <c r="B19" s="15"/>
      <c r="C19" s="15"/>
      <c r="D19" s="15"/>
      <c r="E19" s="16"/>
      <c r="F19" s="6"/>
      <c r="G19" s="17"/>
      <c r="H19" s="6"/>
      <c r="I19" s="6"/>
      <c r="J19" s="6"/>
      <c r="K19" s="6"/>
      <c r="L19" s="6"/>
      <c r="M19" s="6"/>
      <c r="N19" s="6"/>
      <c r="O19" s="6"/>
      <c r="P19" s="6"/>
      <c r="Q19" s="6"/>
    </row>
    <row r="20" spans="1:17">
      <c r="A20" s="7"/>
      <c r="B20" s="154" t="s">
        <v>79</v>
      </c>
      <c r="C20" s="155"/>
      <c r="D20" s="155"/>
      <c r="E20" s="156"/>
      <c r="F20" s="6"/>
      <c r="G20" s="17"/>
      <c r="H20" s="6"/>
      <c r="I20" s="6"/>
      <c r="J20" s="6"/>
      <c r="K20" s="6"/>
      <c r="L20" s="6"/>
      <c r="M20" s="6"/>
      <c r="N20" s="6"/>
      <c r="O20" s="6"/>
      <c r="P20" s="6"/>
      <c r="Q20" s="6"/>
    </row>
    <row r="21" spans="1:17" ht="15.75" thickBot="1">
      <c r="A21" s="7"/>
      <c r="B21" s="157"/>
      <c r="C21" s="158"/>
      <c r="D21" s="158"/>
      <c r="E21" s="159"/>
      <c r="F21" s="6"/>
      <c r="G21" s="17"/>
      <c r="H21" s="6"/>
      <c r="I21" s="6"/>
      <c r="J21" s="6"/>
      <c r="K21" s="6"/>
      <c r="L21" s="6"/>
      <c r="M21" s="6"/>
      <c r="N21" s="6"/>
      <c r="O21" s="6"/>
      <c r="P21" s="6"/>
      <c r="Q21" s="6"/>
    </row>
    <row r="22" spans="1:17" ht="24" customHeight="1">
      <c r="A22" s="7"/>
      <c r="B22" s="160" t="s">
        <v>69</v>
      </c>
      <c r="C22" s="161"/>
      <c r="D22" s="161"/>
      <c r="E22" s="162"/>
      <c r="F22" s="6"/>
      <c r="G22" s="17"/>
      <c r="H22" s="6"/>
      <c r="I22" s="6"/>
      <c r="J22" s="6"/>
      <c r="K22" s="6"/>
      <c r="L22" s="6"/>
      <c r="M22" s="6"/>
      <c r="N22" s="6"/>
      <c r="O22" s="6"/>
      <c r="P22" s="6"/>
      <c r="Q22" s="6"/>
    </row>
    <row r="23" spans="1:17">
      <c r="A23" s="7"/>
      <c r="B23" s="62" t="s">
        <v>70</v>
      </c>
      <c r="C23" s="78">
        <v>1.425</v>
      </c>
      <c r="D23" s="12" t="s">
        <v>5</v>
      </c>
      <c r="E23" s="31"/>
      <c r="F23" s="6"/>
      <c r="G23" s="17"/>
      <c r="H23" s="6"/>
      <c r="I23" s="6"/>
      <c r="J23" s="6"/>
      <c r="K23" s="6"/>
      <c r="L23" s="6"/>
      <c r="M23" s="6"/>
      <c r="N23" s="6"/>
      <c r="O23" s="6"/>
      <c r="P23" s="6"/>
      <c r="Q23" s="6"/>
    </row>
    <row r="24" spans="1:17">
      <c r="A24" s="7"/>
      <c r="B24" s="62" t="s">
        <v>71</v>
      </c>
      <c r="C24" s="78">
        <v>1.5</v>
      </c>
      <c r="D24" s="12" t="s">
        <v>5</v>
      </c>
      <c r="E24" s="31"/>
      <c r="F24" s="6"/>
      <c r="G24" s="17"/>
      <c r="H24" s="6"/>
      <c r="I24" s="6"/>
      <c r="J24" s="6"/>
      <c r="K24" s="6"/>
      <c r="L24" s="6"/>
      <c r="M24" s="6"/>
      <c r="N24" s="6"/>
      <c r="O24" s="6"/>
      <c r="P24" s="6"/>
      <c r="Q24" s="6"/>
    </row>
    <row r="25" spans="1:17" ht="19.5" customHeight="1" thickBot="1">
      <c r="A25" s="7"/>
      <c r="B25" s="62" t="s">
        <v>72</v>
      </c>
      <c r="C25" s="78">
        <v>1.575</v>
      </c>
      <c r="D25" s="32" t="s">
        <v>5</v>
      </c>
      <c r="E25" s="31"/>
      <c r="F25" s="6"/>
      <c r="G25" s="17"/>
      <c r="H25" s="6"/>
      <c r="I25" s="6"/>
      <c r="J25" s="6"/>
      <c r="K25" s="6"/>
      <c r="L25" s="6"/>
      <c r="M25" s="6"/>
      <c r="N25" s="6"/>
      <c r="O25" s="6"/>
      <c r="P25" s="6"/>
      <c r="Q25" s="6"/>
    </row>
    <row r="26" spans="1:17" ht="20.25" customHeight="1">
      <c r="A26" s="7"/>
      <c r="B26" s="160" t="s">
        <v>73</v>
      </c>
      <c r="C26" s="161"/>
      <c r="D26" s="161"/>
      <c r="E26" s="162"/>
      <c r="F26" s="6"/>
      <c r="G26" s="17"/>
      <c r="H26" s="6"/>
      <c r="I26" s="6"/>
      <c r="J26" s="6"/>
      <c r="K26" s="6"/>
      <c r="L26" s="6"/>
      <c r="M26" s="6"/>
      <c r="N26" s="6"/>
      <c r="O26" s="6"/>
      <c r="P26" s="6"/>
      <c r="Q26" s="6"/>
    </row>
    <row r="27" spans="1:17">
      <c r="A27" s="7"/>
      <c r="B27" s="9" t="s">
        <v>70</v>
      </c>
      <c r="C27" s="78">
        <v>1.282</v>
      </c>
      <c r="D27" s="32" t="s">
        <v>5</v>
      </c>
      <c r="E27" s="31"/>
      <c r="F27" s="6"/>
      <c r="G27" s="17"/>
      <c r="H27" s="6"/>
      <c r="I27" s="6"/>
      <c r="J27" s="6"/>
      <c r="K27" s="6"/>
      <c r="L27" s="6"/>
      <c r="M27" s="6"/>
      <c r="N27" s="6"/>
      <c r="O27" s="6"/>
      <c r="P27" s="6"/>
      <c r="Q27" s="6"/>
    </row>
    <row r="28" spans="1:17">
      <c r="A28" s="7"/>
      <c r="B28" s="63" t="s">
        <v>71</v>
      </c>
      <c r="C28" s="78">
        <v>1.35</v>
      </c>
      <c r="D28" s="64" t="s">
        <v>5</v>
      </c>
      <c r="E28" s="31"/>
      <c r="F28" s="6"/>
      <c r="G28" s="17"/>
      <c r="H28" s="6"/>
      <c r="I28" s="6"/>
      <c r="J28" s="6"/>
      <c r="K28" s="6"/>
      <c r="L28" s="6"/>
      <c r="M28" s="6"/>
      <c r="N28" s="6"/>
      <c r="O28" s="6"/>
      <c r="P28" s="6"/>
      <c r="Q28" s="6"/>
    </row>
    <row r="29" spans="1:17" ht="15.75" thickBot="1">
      <c r="A29" s="7"/>
      <c r="B29" s="68" t="s">
        <v>72</v>
      </c>
      <c r="C29" s="79">
        <v>1.4179999999999999</v>
      </c>
      <c r="D29" s="66" t="s">
        <v>5</v>
      </c>
      <c r="E29" s="65"/>
      <c r="F29" s="6"/>
      <c r="G29" s="17"/>
      <c r="H29" s="6"/>
      <c r="I29" s="6"/>
      <c r="J29" s="6"/>
      <c r="K29" s="6"/>
      <c r="L29" s="6"/>
      <c r="M29" s="6"/>
      <c r="N29" s="6"/>
      <c r="O29" s="6"/>
      <c r="P29" s="6"/>
      <c r="Q29" s="6"/>
    </row>
    <row r="30" spans="1:17" ht="20.100000000000001" customHeight="1" thickBot="1">
      <c r="A30" s="6"/>
      <c r="B30" s="6"/>
      <c r="C30" s="6"/>
      <c r="D30" s="6"/>
      <c r="E30" s="6"/>
      <c r="F30" s="6"/>
      <c r="G30" s="17"/>
      <c r="H30" s="6"/>
      <c r="I30" s="6"/>
      <c r="J30" s="6"/>
      <c r="K30" s="6"/>
      <c r="L30" s="6"/>
      <c r="M30" s="6"/>
      <c r="N30" s="6"/>
      <c r="O30" s="6"/>
      <c r="P30" s="6"/>
      <c r="Q30" s="6"/>
    </row>
    <row r="31" spans="1:17">
      <c r="A31" s="7"/>
      <c r="B31" s="154" t="s">
        <v>67</v>
      </c>
      <c r="C31" s="155"/>
      <c r="D31" s="155"/>
      <c r="E31" s="156"/>
      <c r="F31" s="6"/>
      <c r="G31" s="17"/>
      <c r="H31" s="6"/>
      <c r="I31" s="6"/>
      <c r="J31" s="6"/>
      <c r="K31" s="6"/>
      <c r="L31" s="6"/>
      <c r="M31" s="6"/>
      <c r="N31" s="6"/>
      <c r="O31" s="6"/>
      <c r="P31" s="6"/>
      <c r="Q31" s="6"/>
    </row>
    <row r="32" spans="1:17" ht="15.75" thickBot="1">
      <c r="A32" s="7"/>
      <c r="B32" s="157"/>
      <c r="C32" s="158"/>
      <c r="D32" s="158"/>
      <c r="E32" s="159"/>
      <c r="F32" s="6"/>
      <c r="G32" s="17"/>
      <c r="H32" s="6"/>
      <c r="I32" s="6"/>
      <c r="J32" s="6"/>
      <c r="K32" s="6"/>
      <c r="L32" s="6"/>
      <c r="M32" s="6"/>
      <c r="N32" s="6"/>
      <c r="O32" s="6"/>
      <c r="P32" s="6"/>
      <c r="Q32" s="6"/>
    </row>
    <row r="33" spans="1:17" ht="20.25" customHeight="1">
      <c r="A33" s="7"/>
      <c r="B33" s="34" t="s">
        <v>82</v>
      </c>
      <c r="C33" s="67">
        <f>C13/(C16*10^-6)/1000-C35</f>
        <v>761.62500000000011</v>
      </c>
      <c r="D33" s="12" t="s">
        <v>11</v>
      </c>
      <c r="E33" s="75"/>
      <c r="F33" s="6"/>
      <c r="G33" s="17"/>
      <c r="H33" s="6"/>
      <c r="I33" s="6"/>
      <c r="J33" s="6"/>
      <c r="K33" s="6"/>
      <c r="L33" s="6"/>
      <c r="M33" s="6"/>
      <c r="N33" s="6"/>
      <c r="O33" s="6"/>
      <c r="P33" s="6"/>
      <c r="Q33" s="6"/>
    </row>
    <row r="34" spans="1:17" ht="20.25" customHeight="1">
      <c r="A34" s="7"/>
      <c r="B34" s="34" t="s">
        <v>80</v>
      </c>
      <c r="C34" s="88">
        <v>820</v>
      </c>
      <c r="D34" s="12" t="s">
        <v>11</v>
      </c>
      <c r="E34" s="75" t="s">
        <v>129</v>
      </c>
      <c r="F34" s="6"/>
      <c r="G34" s="17"/>
      <c r="H34" s="6"/>
      <c r="I34" s="6"/>
      <c r="J34" s="6"/>
      <c r="K34" s="6"/>
      <c r="L34" s="6"/>
      <c r="M34" s="6"/>
      <c r="N34" s="6"/>
      <c r="O34" s="6"/>
      <c r="P34" s="6"/>
      <c r="Q34" s="6"/>
    </row>
    <row r="35" spans="1:17" ht="20.25" customHeight="1">
      <c r="A35" s="7"/>
      <c r="B35" s="34" t="s">
        <v>83</v>
      </c>
      <c r="C35" s="67">
        <f>C25*1.01/C14*(C13/(C16*10^-6))/1000</f>
        <v>88.375</v>
      </c>
      <c r="D35" s="12" t="s">
        <v>11</v>
      </c>
      <c r="E35" s="75"/>
      <c r="F35" s="6"/>
      <c r="G35" s="17"/>
      <c r="H35" s="6"/>
      <c r="I35" s="6"/>
      <c r="J35" s="6"/>
      <c r="K35" s="6"/>
      <c r="L35" s="6"/>
      <c r="M35" s="6"/>
      <c r="N35" s="6"/>
      <c r="O35" s="6"/>
      <c r="P35" s="6"/>
      <c r="Q35" s="6"/>
    </row>
    <row r="36" spans="1:17" ht="20.25" customHeight="1">
      <c r="A36" s="7"/>
      <c r="B36" s="34" t="s">
        <v>81</v>
      </c>
      <c r="C36" s="83">
        <v>100</v>
      </c>
      <c r="D36" s="12" t="s">
        <v>11</v>
      </c>
      <c r="E36" s="75" t="s">
        <v>129</v>
      </c>
      <c r="F36" s="6"/>
      <c r="G36" s="17"/>
      <c r="H36" s="6"/>
      <c r="I36" s="6"/>
      <c r="J36" s="6"/>
      <c r="K36" s="6"/>
      <c r="L36" s="6"/>
      <c r="M36" s="6"/>
      <c r="N36" s="6"/>
      <c r="O36" s="6"/>
      <c r="P36" s="6"/>
      <c r="Q36" s="6"/>
    </row>
    <row r="37" spans="1:17" ht="18.75">
      <c r="A37" s="7"/>
      <c r="B37" s="9" t="s">
        <v>91</v>
      </c>
      <c r="C37" s="103">
        <f>(C17*10^-3)/((C35*C33/(C33+C35))*1000)*10^9</f>
        <v>12.628399366630058</v>
      </c>
      <c r="D37" s="10" t="s">
        <v>75</v>
      </c>
      <c r="E37" s="75" t="s">
        <v>114</v>
      </c>
      <c r="F37" s="6"/>
      <c r="G37" s="17"/>
      <c r="H37" s="6"/>
      <c r="I37" s="6"/>
      <c r="J37" s="6"/>
      <c r="K37" s="6"/>
      <c r="L37" s="6"/>
      <c r="M37" s="6"/>
      <c r="N37" s="6"/>
      <c r="O37" s="6"/>
      <c r="P37" s="6"/>
      <c r="Q37" s="6"/>
    </row>
    <row r="38" spans="1:17" ht="20.25" customHeight="1">
      <c r="A38" s="7"/>
      <c r="B38" s="34" t="s">
        <v>107</v>
      </c>
      <c r="C38" s="67">
        <f>C33</f>
        <v>761.62500000000011</v>
      </c>
      <c r="D38" s="101" t="s">
        <v>11</v>
      </c>
      <c r="E38" s="102"/>
      <c r="F38" s="6"/>
      <c r="G38" s="17"/>
      <c r="H38" s="6"/>
      <c r="I38" s="6"/>
      <c r="J38" s="6"/>
      <c r="K38" s="6"/>
      <c r="L38" s="6"/>
      <c r="M38" s="6"/>
      <c r="N38" s="6"/>
      <c r="O38" s="6"/>
      <c r="P38" s="6"/>
      <c r="Q38" s="6"/>
    </row>
    <row r="39" spans="1:17" ht="20.25" customHeight="1">
      <c r="A39" s="7"/>
      <c r="B39" s="34" t="s">
        <v>108</v>
      </c>
      <c r="C39" s="88">
        <v>820</v>
      </c>
      <c r="D39" s="12" t="s">
        <v>11</v>
      </c>
      <c r="E39" s="75" t="s">
        <v>129</v>
      </c>
      <c r="F39" s="6"/>
      <c r="G39" s="17"/>
      <c r="H39" s="6"/>
      <c r="I39" s="6"/>
      <c r="J39" s="6"/>
      <c r="K39" s="6"/>
      <c r="L39" s="6"/>
      <c r="M39" s="6"/>
      <c r="N39" s="6"/>
      <c r="O39" s="6"/>
      <c r="P39" s="6"/>
      <c r="Q39" s="6"/>
    </row>
    <row r="40" spans="1:17" ht="19.5" thickBot="1">
      <c r="A40" s="7"/>
      <c r="B40" s="45" t="s">
        <v>109</v>
      </c>
      <c r="C40" s="77">
        <f>C18/C39*1000</f>
        <v>3.0487804878048781</v>
      </c>
      <c r="D40" s="14" t="s">
        <v>75</v>
      </c>
      <c r="E40" s="61" t="s">
        <v>114</v>
      </c>
      <c r="F40" s="6"/>
      <c r="G40" s="17"/>
      <c r="H40" s="6"/>
      <c r="I40" s="6"/>
      <c r="J40" s="6"/>
      <c r="K40" s="6"/>
      <c r="L40" s="6"/>
      <c r="M40" s="6"/>
      <c r="N40" s="6"/>
      <c r="O40" s="6"/>
      <c r="P40" s="6"/>
      <c r="Q40" s="6"/>
    </row>
    <row r="41" spans="1:17" ht="15.75" thickBot="1">
      <c r="A41" s="6"/>
      <c r="B41" s="6"/>
      <c r="C41" s="6"/>
      <c r="D41" s="6"/>
      <c r="E41" s="6"/>
      <c r="F41" s="6"/>
      <c r="G41" s="17"/>
      <c r="H41" s="6"/>
      <c r="I41" s="6"/>
      <c r="J41" s="6"/>
      <c r="K41" s="6"/>
      <c r="L41" s="6"/>
      <c r="M41" s="6"/>
      <c r="N41" s="6"/>
      <c r="O41" s="6"/>
      <c r="P41" s="6"/>
      <c r="Q41" s="6"/>
    </row>
    <row r="42" spans="1:17">
      <c r="A42" s="7"/>
      <c r="B42" s="148" t="s">
        <v>92</v>
      </c>
      <c r="C42" s="149"/>
      <c r="D42" s="149"/>
      <c r="E42" s="150"/>
      <c r="F42" s="6"/>
      <c r="G42" s="17"/>
      <c r="H42" s="6"/>
      <c r="I42" s="6"/>
      <c r="J42" s="6"/>
      <c r="K42" s="6"/>
      <c r="L42" s="6"/>
      <c r="M42" s="6"/>
      <c r="N42" s="6"/>
      <c r="O42" s="6"/>
      <c r="P42" s="6"/>
      <c r="Q42" s="6"/>
    </row>
    <row r="43" spans="1:17" ht="15.75" thickBot="1">
      <c r="A43" s="7"/>
      <c r="B43" s="151"/>
      <c r="C43" s="152"/>
      <c r="D43" s="152"/>
      <c r="E43" s="153"/>
      <c r="F43" s="6"/>
      <c r="G43" s="17"/>
      <c r="H43" s="6"/>
      <c r="I43" s="6"/>
      <c r="J43" s="6"/>
      <c r="K43" s="6"/>
      <c r="L43" s="6"/>
      <c r="M43" s="6"/>
      <c r="N43" s="6"/>
      <c r="O43" s="6"/>
      <c r="P43" s="6"/>
      <c r="Q43" s="6"/>
    </row>
    <row r="44" spans="1:17" ht="28.5">
      <c r="A44" s="7"/>
      <c r="B44" s="9" t="s">
        <v>94</v>
      </c>
      <c r="C44" s="84">
        <f>C14*C36/(C34+C36)</f>
        <v>1.6630434782608696</v>
      </c>
      <c r="D44" s="32" t="s">
        <v>5</v>
      </c>
      <c r="E44" s="31" t="s">
        <v>85</v>
      </c>
      <c r="F44" s="6"/>
      <c r="G44" s="17"/>
      <c r="H44" s="6"/>
      <c r="I44" s="6"/>
      <c r="J44" s="6"/>
      <c r="K44" s="6"/>
      <c r="L44" s="6"/>
      <c r="M44" s="6"/>
      <c r="N44" s="6"/>
      <c r="O44" s="6"/>
      <c r="P44" s="6"/>
      <c r="Q44" s="6"/>
    </row>
    <row r="45" spans="1:17" ht="27.75" customHeight="1">
      <c r="A45" s="7"/>
      <c r="B45" s="9" t="s">
        <v>93</v>
      </c>
      <c r="C45" s="85">
        <f>C13*C36/(C34+C36)</f>
        <v>1.8478260869565217</v>
      </c>
      <c r="D45" s="64" t="s">
        <v>5</v>
      </c>
      <c r="E45" s="80"/>
      <c r="F45" s="6"/>
      <c r="G45" s="17"/>
      <c r="H45" s="6"/>
      <c r="I45" s="6"/>
      <c r="J45" s="6"/>
      <c r="K45" s="6"/>
      <c r="L45" s="6"/>
      <c r="M45" s="6"/>
      <c r="N45" s="6"/>
      <c r="O45" s="6"/>
      <c r="P45" s="6"/>
      <c r="Q45" s="6"/>
    </row>
    <row r="46" spans="1:17" ht="30.75" thickBot="1">
      <c r="A46" s="7"/>
      <c r="B46" s="45" t="s">
        <v>95</v>
      </c>
      <c r="C46" s="86">
        <f>C15*C36/(C34+C36)</f>
        <v>2.2173913043478257</v>
      </c>
      <c r="D46" s="66" t="s">
        <v>5</v>
      </c>
      <c r="E46" s="87" t="s">
        <v>84</v>
      </c>
      <c r="F46" s="6"/>
      <c r="G46" s="17"/>
      <c r="H46" s="6"/>
      <c r="I46" s="6"/>
      <c r="J46" s="6"/>
      <c r="K46" s="6"/>
      <c r="L46" s="6"/>
      <c r="M46" s="6"/>
      <c r="N46" s="6"/>
      <c r="O46" s="6"/>
      <c r="P46" s="6"/>
      <c r="Q46" s="6"/>
    </row>
    <row r="47" spans="1:17" ht="20.100000000000001" customHeight="1">
      <c r="A47" s="6"/>
      <c r="B47" s="6"/>
      <c r="C47" s="6"/>
      <c r="D47" s="6"/>
      <c r="E47" s="6"/>
      <c r="F47" s="6"/>
      <c r="G47" s="17"/>
      <c r="H47" s="6"/>
      <c r="I47" s="6"/>
      <c r="J47" s="6"/>
      <c r="K47" s="6"/>
      <c r="L47" s="6"/>
      <c r="M47" s="6"/>
      <c r="N47" s="6"/>
      <c r="O47" s="6"/>
      <c r="P47" s="6"/>
      <c r="Q47" s="6"/>
    </row>
    <row r="48" spans="1:17" ht="19.5">
      <c r="B48" s="104" t="s">
        <v>45</v>
      </c>
    </row>
    <row r="49" spans="3:3">
      <c r="C49" s="81"/>
    </row>
    <row r="50" spans="3:3">
      <c r="C50" s="82"/>
    </row>
    <row r="51" spans="3:3">
      <c r="C51" s="81"/>
    </row>
    <row r="52" spans="3:3">
      <c r="C52" s="81"/>
    </row>
  </sheetData>
  <sheetProtection algorithmName="SHA-512" hashValue="sknqX39Xixo/+N86RIwT+30mWFXLR0K21az/8VZZYLZdfn4dx70STJDGei3wCg7ml9XUY5QsvGBTs/bmJx1WQA==" saltValue="EA5qmXknWMSGrlNe3ArHZw==" spinCount="100000" sheet="1" selectLockedCells="1"/>
  <mergeCells count="13">
    <mergeCell ref="B1:E1"/>
    <mergeCell ref="B2:E2"/>
    <mergeCell ref="B3:E6"/>
    <mergeCell ref="B7:E7"/>
    <mergeCell ref="B8:E8"/>
    <mergeCell ref="B42:E43"/>
    <mergeCell ref="B9:E9"/>
    <mergeCell ref="B31:E32"/>
    <mergeCell ref="B10:E10"/>
    <mergeCell ref="B11:E12"/>
    <mergeCell ref="B20:E21"/>
    <mergeCell ref="B22:E22"/>
    <mergeCell ref="B26:E26"/>
  </mergeCells>
  <conditionalFormatting sqref="D45:E45 D46">
    <cfRule type="expression" dxfId="7" priority="6">
      <formula>#REF!&lt;2.5</formula>
    </cfRule>
    <cfRule type="expression" dxfId="6" priority="7">
      <formula>#REF!=2.5</formula>
    </cfRule>
  </conditionalFormatting>
  <conditionalFormatting sqref="E23:E25">
    <cfRule type="expression" dxfId="5" priority="12">
      <formula>#REF!&lt;2.5</formula>
    </cfRule>
    <cfRule type="expression" dxfId="4" priority="13">
      <formula>#REF!=2.5</formula>
    </cfRule>
  </conditionalFormatting>
  <conditionalFormatting sqref="E27 D28:E29">
    <cfRule type="expression" dxfId="3" priority="20">
      <formula>#REF!&lt;2.5</formula>
    </cfRule>
    <cfRule type="expression" dxfId="2" priority="21">
      <formula>#REF!=2.5</formula>
    </cfRule>
  </conditionalFormatting>
  <conditionalFormatting sqref="E44">
    <cfRule type="expression" dxfId="1" priority="2">
      <formula>$C$44&lt;=$C$25</formula>
    </cfRule>
  </conditionalFormatting>
  <conditionalFormatting sqref="E46">
    <cfRule type="expression" dxfId="0" priority="1">
      <formula>$C$46&gt;=5.5</formula>
    </cfRule>
  </conditionalFormatting>
  <pageMargins left="0.7" right="0.7" top="0.75" bottom="0.75" header="0.3" footer="0.3"/>
  <pageSetup orientation="portrait" r:id="rId1"/>
  <ignoredErrors>
    <ignoredError sqref="C14:C1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9DA9939D4EAB4796CD11D35FA80828" ma:contentTypeVersion="1" ma:contentTypeDescription="Create a new document." ma:contentTypeScope="" ma:versionID="280622034487628551932e19f9b67e4b">
  <xsd:schema xmlns:xsd="http://www.w3.org/2001/XMLSchema" xmlns:xs="http://www.w3.org/2001/XMLSchema" xmlns:p="http://schemas.microsoft.com/office/2006/metadata/properties" xmlns:ns2="72d2ce5a-7ad6-49a7-8fa5-8befc56c681c" targetNamespace="http://schemas.microsoft.com/office/2006/metadata/properties" ma:root="true" ma:fieldsID="884e320e19264b04ef27a4dae7b7375b" ns2:_="">
    <xsd:import namespace="72d2ce5a-7ad6-49a7-8fa5-8befc56c681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2ce5a-7ad6-49a7-8fa5-8befc56c681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AB7335-583D-4882-A716-7A22D6BC7781}">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terms/"/>
    <ds:schemaRef ds:uri="72d2ce5a-7ad6-49a7-8fa5-8befc56c681c"/>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10733180-A130-4F70-A2A3-1A0B93CEDD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2ce5a-7ad6-49a7-8fa5-8befc56c6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1CE4F8-7539-47AE-9669-AE32EB6588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Dual Output</vt:lpstr>
      <vt:lpstr>Single Output</vt:lpstr>
      <vt:lpstr>Vin UVLO Prog. &amp; Startup Delay</vt:lpstr>
      <vt:lpstr>'Dual Output'!COM_VEE</vt:lpstr>
      <vt:lpstr>'Dual Output'!fsw</vt:lpstr>
      <vt:lpstr>'Single Output'!fsw</vt:lpstr>
      <vt:lpstr>'Single Output'!I_VDD_COM</vt:lpstr>
      <vt:lpstr>I_VDD_COM</vt:lpstr>
      <vt:lpstr>'Dual Output'!IQ_DRIVER_VDD</vt:lpstr>
      <vt:lpstr>'Single Output'!IQ_DRIVER_VDD</vt:lpstr>
      <vt:lpstr>'Single Output'!IQ_OTHER_VDD</vt:lpstr>
      <vt:lpstr>IQ_OTHER_VDD</vt:lpstr>
      <vt:lpstr>'Single Output'!IQ_VDD</vt:lpstr>
      <vt:lpstr>IQ_VDD</vt:lpstr>
      <vt:lpstr>'Single Output'!IQ_VDD_COM</vt:lpstr>
      <vt:lpstr>IQ_VDD_COM</vt:lpstr>
      <vt:lpstr>IQ_VEE</vt:lpstr>
      <vt:lpstr>'Single Output'!PERCENT_VPP_MAX</vt:lpstr>
      <vt:lpstr>PERCENT_VPP_MAX</vt:lpstr>
      <vt:lpstr>'Single Output'!PERCENT_VPP_MAX_VDD</vt:lpstr>
      <vt:lpstr>PERCENT_VPP_MAX_VDD</vt:lpstr>
      <vt:lpstr>PERCENT_VPP_MAX_VEE</vt:lpstr>
      <vt:lpstr>'Dual Output'!Po</vt:lpstr>
      <vt:lpstr>'Single Output'!Po</vt:lpstr>
      <vt:lpstr>'Dual Output'!Qgtot</vt:lpstr>
      <vt:lpstr>'Single Output'!Qgtot</vt:lpstr>
      <vt:lpstr>'Dual Output'!R_2</vt:lpstr>
      <vt:lpstr>'Single Output'!R_2</vt:lpstr>
      <vt:lpstr>'Single Output'!VDD_COM</vt:lpstr>
      <vt:lpstr>VDD_COM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2025-10-30T21:24:54Z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0x010100659DA9939D4EAB4796CD11D35FA80828</vt:lpwstr>
  </property>
</Properties>
</file>